
<file path=[Content_Types].xml><?xml version="1.0" encoding="utf-8"?>
<Types xmlns="http://schemas.openxmlformats.org/package/2006/content-types">
  <Default Extension="bin" ContentType="application/vnd.openxmlformats-officedocument.spreadsheetml.printerSettings"/>
  <Default Extension="pdf" ContentType="image/unknown"/>
  <Default Extension="rels" ContentType="application/vnd.openxmlformats-package.relationships+xml"/>
  <Default Extension="xml" ContentType="application/xml"/>
  <Default Extension="vml" ContentType="application/vnd.openxmlformats-officedocument.vmlDrawing"/>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DWR\VOL1\COMDRV\Enforcement Unit 2 - Brian's Unit\PAlemi\Projects\Small Use Water Report Estimator\"/>
    </mc:Choice>
  </mc:AlternateContent>
  <bookViews>
    <workbookView xWindow="0" yWindow="0" windowWidth="28800" windowHeight="11550" tabRatio="716"/>
  </bookViews>
  <sheets>
    <sheet name="Disclaimer_Read_Me_First" sheetId="1" r:id="rId1"/>
    <sheet name="Entry Sheet" sheetId="2" r:id="rId2"/>
    <sheet name="Hydrologic Regions Map" sheetId="11" r:id="rId3"/>
    <sheet name="Assumptions" sheetId="3" r:id="rId4"/>
    <sheet name="Conversions" sheetId="4" r:id="rId5"/>
    <sheet name="Abbreviation Guide" sheetId="5" r:id="rId6"/>
    <sheet name="Calculation Sheet 1" sheetId="6" r:id="rId7"/>
    <sheet name="Calculation Sheet 2" sheetId="7" r:id="rId8"/>
    <sheet name="Calculation Sheet 3" sheetId="8" r:id="rId9"/>
    <sheet name="Calculation Sheet 4" sheetId="9" r:id="rId10"/>
    <sheet name="Calculation Sheet 5" sheetId="10" r:id="rId11"/>
  </sheets>
  <definedNames>
    <definedName name="_xlnm._FilterDatabase" localSheetId="1" hidden="1">'Entry Sheet'!$A$25:$M$33</definedName>
    <definedName name="Alpine">Assumptions!$C$35:$C$54</definedName>
    <definedName name="Amador">Assumptions!$D$35:$D$54</definedName>
    <definedName name="Butte">Assumptions!$E$35:$E$54</definedName>
    <definedName name="Calaveras">Assumptions!$F$35:$F$54</definedName>
    <definedName name="Colusa">Assumptions!$G$35:$G$54</definedName>
    <definedName name="Contra_Costa">Assumptions!$H$35:$H$54</definedName>
    <definedName name="Days_Irrigated1" localSheetId="7">'Calculation Sheet 1'!$B$28:$M$28</definedName>
    <definedName name="Days_Irrigated1" localSheetId="8">'Calculation Sheet 3'!$B$26:$M$26</definedName>
    <definedName name="Days_Irrigated1" localSheetId="9">'Calculation Sheet 4'!$B$25:$M$25</definedName>
    <definedName name="Days_Irrigated1" localSheetId="10">'Calculation Sheet 5'!$B$25:$M$25</definedName>
    <definedName name="Days_Irrigated1">'Calculation Sheet 1'!$A$20:$M$20</definedName>
    <definedName name="Days_Irrigated2" localSheetId="7">'Calculation Sheet 2'!$A$28:$M$28</definedName>
    <definedName name="Days_Irrigated2" localSheetId="8">'Calculation Sheet 3'!$A$26:$M$26</definedName>
    <definedName name="Days_Irrigated2" localSheetId="9">'Calculation Sheet 4'!$A$25:$M$25</definedName>
    <definedName name="Days_Irrigated2" localSheetId="10">'Calculation Sheet 5'!$A$25:$M$25</definedName>
    <definedName name="Days_Irrigated2">'Calculation Sheet 1'!$A$28:$M$28</definedName>
    <definedName name="Days_Stockwatering2" localSheetId="7">'Calculation Sheet 2'!$A$35:$M$35</definedName>
    <definedName name="Days_Stockwatering2" localSheetId="8">'Calculation Sheet 3'!$A$33:$M$33</definedName>
    <definedName name="Days_Stockwatering2" localSheetId="9">'Calculation Sheet 4'!$A$32:$M$32</definedName>
    <definedName name="Days_Stockwatering2" localSheetId="10">'Calculation Sheet 5'!$A$32:$M$32</definedName>
    <definedName name="Days_Stockwatering2">'Calculation Sheet 1'!$A$35:$M$35</definedName>
    <definedName name="DaysDomestic" localSheetId="7">'Calculation Sheet 2'!#REF!</definedName>
    <definedName name="DaysDomestic" localSheetId="8">'Calculation Sheet 3'!#REF!</definedName>
    <definedName name="DaysDomestic" localSheetId="9">'Calculation Sheet 4'!#REF!</definedName>
    <definedName name="DaysDomestic" localSheetId="10">'Calculation Sheet 5'!#REF!</definedName>
    <definedName name="DaysDomestic">'Calculation Sheet 1'!$A$13:$M$13</definedName>
    <definedName name="DaysStockwatering1" localSheetId="7">'Calculation Sheet 2'!$A$14:$M$14</definedName>
    <definedName name="DaysStockwatering1" localSheetId="8">'Calculation Sheet 3'!$A$15:$M$15</definedName>
    <definedName name="DaysStockwatering1" localSheetId="9">'Calculation Sheet 4'!$A$14:$M$14</definedName>
    <definedName name="DaysStockwatering1" localSheetId="10">'Calculation Sheet 5'!$A$14:$M$14</definedName>
    <definedName name="DaysStockwatering1">'Calculation Sheet 1'!$A$17:$M$17</definedName>
    <definedName name="Del_Norte">Assumptions!$I$35:$I$54</definedName>
    <definedName name="Domestic_Stock" localSheetId="7">'Calculation Sheet 2'!$B$15:$M$15</definedName>
    <definedName name="Domestic_Stock" localSheetId="8">'Calculation Sheet 3'!$B$16:$M$16</definedName>
    <definedName name="Domestic_Stock" localSheetId="9">'Calculation Sheet 4'!$B$15:$M$15</definedName>
    <definedName name="Domestic_Stock" localSheetId="10">'Calculation Sheet 5'!$B$15:$M$15</definedName>
    <definedName name="Domestic_Stock">'Calculation Sheet 1'!$B$18:$M$18</definedName>
    <definedName name="DomesticDaily" localSheetId="7">'Calculation Sheet 2'!$B$11</definedName>
    <definedName name="DomesticDaily" localSheetId="8">'Calculation Sheet 3'!$B$12</definedName>
    <definedName name="DomesticDaily" localSheetId="9">'Calculation Sheet 4'!$B$11</definedName>
    <definedName name="DomesticDaily" localSheetId="10">'Calculation Sheet 5'!$B$11</definedName>
    <definedName name="DomesticDaily">'Calculation Sheet 1'!$B$10</definedName>
    <definedName name="El_Dorado">Assumptions!$J$35:$J$54</definedName>
    <definedName name="EntryStock" localSheetId="7">'Calculation Sheet 2'!$B$5</definedName>
    <definedName name="EntryStock" localSheetId="8">'Calculation Sheet 3'!$B$5</definedName>
    <definedName name="EntryStock" localSheetId="9">'Calculation Sheet 4'!$B$5</definedName>
    <definedName name="EntryStock" localSheetId="10">'Calculation Sheet 5'!$B$5</definedName>
    <definedName name="EntryStock">'Calculation Sheet 1'!$B$5</definedName>
    <definedName name="Fresno">Assumptions!$K$35:$K$54</definedName>
    <definedName name="Garbage">'Entry Sheet'!$O$34:$S$38,Assumptions!$T$89:$U$90</definedName>
    <definedName name="GardenRate">Assumptions!$B$22:$B$22</definedName>
    <definedName name="Glenn">Assumptions!$L$35:$L$54</definedName>
    <definedName name="Humboldt">Assumptions!$M$35:$M$54</definedName>
    <definedName name="Hydrologic_Region" localSheetId="7">Assumptions!$A$94:$A$104</definedName>
    <definedName name="Hydrologic_Region" localSheetId="8">Assumptions!$A$94:$A$104</definedName>
    <definedName name="Hydrologic_Region" localSheetId="9">Assumptions!$A$94:$A$104</definedName>
    <definedName name="Hydrologic_Region" localSheetId="10">Assumptions!$A$94:$A$104</definedName>
    <definedName name="Hydrologic_Region">Assumptions!$A$94:$A$104</definedName>
    <definedName name="HydrologicRegion_Entry" localSheetId="7">'Calculation Sheet 2'!$B$4</definedName>
    <definedName name="HydrologicRegion_Entry" localSheetId="8">'Calculation Sheet 3'!$B$4</definedName>
    <definedName name="HydrologicRegion_Entry" localSheetId="9">'Calculation Sheet 4'!$B$4</definedName>
    <definedName name="HydrologicRegion_Entry" localSheetId="10">'Calculation Sheet 5'!$B$4</definedName>
    <definedName name="HydrologicRegion_Entry">'Calculation Sheet 1'!$B$4</definedName>
    <definedName name="Imperial">Assumptions!$N$35:$N$54</definedName>
    <definedName name="Inyo">Assumptions!$O$35:$O$54</definedName>
    <definedName name="Irrigation_Area1" localSheetId="7">'Calculation Sheet 2'!$B$7</definedName>
    <definedName name="Irrigation_Area1" localSheetId="8">'Calculation Sheet 3'!$B$7</definedName>
    <definedName name="Irrigation_Area1" localSheetId="9">'Calculation Sheet 4'!$B$7</definedName>
    <definedName name="Irrigation_Area1" localSheetId="10">'Calculation Sheet 5'!$B$7</definedName>
    <definedName name="Irrigation_Area1">'Calculation Sheet 1'!$B$7</definedName>
    <definedName name="Irrigation_Area2" localSheetId="7">'Calculation Sheet 2'!$E$5</definedName>
    <definedName name="Irrigation_Area2" localSheetId="8">'Calculation Sheet 3'!$E$5</definedName>
    <definedName name="Irrigation_Area2" localSheetId="9">'Calculation Sheet 4'!$E$5</definedName>
    <definedName name="Irrigation_Area2" localSheetId="10">'Calculation Sheet 5'!$E$5</definedName>
    <definedName name="Irrigation_Area2">'Calculation Sheet 1'!$E$5</definedName>
    <definedName name="Irrigation_Crop">Assumptions!$A$35:$A$55</definedName>
    <definedName name="IrrigationAverage">Assumptions!$BG$35:$BG$55</definedName>
    <definedName name="IrrigationCounty">Assumptions!$B$34:$BF$34</definedName>
    <definedName name="IrrigationTime1" localSheetId="7">'Calculation Sheet 1'!$B$28:$M$28</definedName>
    <definedName name="IrrigationTime1" localSheetId="8">'Calculation Sheet 2'!$B$28:$M$28</definedName>
    <definedName name="IrrigationTime1" localSheetId="9">'Calculation Sheet 4'!$B$25:$M$25</definedName>
    <definedName name="IrrigationTime1" localSheetId="10">'Calculation Sheet 5'!$B$25:$M$25</definedName>
    <definedName name="IrrigationTime1">'Calculation Sheet 1'!$B$28:$M$28</definedName>
    <definedName name="IrrigationTime2" localSheetId="7">'Calculation Sheet 2'!$E$6</definedName>
    <definedName name="IrrigationTime2" localSheetId="8">'Calculation Sheet 3'!$E$6</definedName>
    <definedName name="IrrigationTime2" localSheetId="9">'Calculation Sheet 4'!$E$6</definedName>
    <definedName name="IrrigationTime2" localSheetId="10">'Calculation Sheet 5'!$E$6</definedName>
    <definedName name="IrrigationTime2">'Calculation Sheet 1'!$E$6</definedName>
    <definedName name="JanTotal">'Calculation Sheet 1:Calculation Sheet 5'!$B$41</definedName>
    <definedName name="Kern">Assumptions!$P$35:$P$54</definedName>
    <definedName name="Kings">Assumptions!$Q$35:$Q$54</definedName>
    <definedName name="Lake">Assumptions!$R$35:$R$54</definedName>
    <definedName name="Lassen">Assumptions!$S$35:$S$54</definedName>
    <definedName name="Lawn_Garden" localSheetId="7">'Calculation Sheet 2'!$B$7</definedName>
    <definedName name="Lawn_Garden" localSheetId="8">'Calculation Sheet 3'!$B$7</definedName>
    <definedName name="Lawn_Garden" localSheetId="9">'Calculation Sheet 4'!$B$7</definedName>
    <definedName name="Lawn_Garden" localSheetId="10">'Calculation Sheet 5'!$B$7</definedName>
    <definedName name="Lawn_Garden">'Calculation Sheet 1'!$A$19:$M$19</definedName>
    <definedName name="Los_Angeles">Assumptions!$T$35:$T$54</definedName>
    <definedName name="Madera">Assumptions!$U$35:$U$54</definedName>
    <definedName name="Marin">Assumptions!$V$35:$V$54</definedName>
    <definedName name="Mariposa">Assumptions!$W$35:$W$54</definedName>
    <definedName name="Mendocino">Assumptions!$X$35:$X$54</definedName>
    <definedName name="Merced">Assumptions!$Y$35:$Y$54</definedName>
    <definedName name="Modoc">Assumptions!$Z$35:$Z$54</definedName>
    <definedName name="Mono">Assumptions!$AA$35:$AA$54</definedName>
    <definedName name="Monterey">Assumptions!$AB$35:$AB$54</definedName>
    <definedName name="Napa">Assumptions!$AC$35:$AC$54</definedName>
    <definedName name="Nevada">Assumptions!$AD$35:$AD$54</definedName>
    <definedName name="NumComStock1">'Entry Sheet'!$H$4</definedName>
    <definedName name="NumComStock2">'Entry Sheet'!$H$6</definedName>
    <definedName name="NumComStock3">'Entry Sheet'!$H$8</definedName>
    <definedName name="NumComStock4">'Entry Sheet'!$H$10</definedName>
    <definedName name="NumComStock5">'Entry Sheet'!$H$12</definedName>
    <definedName name="NumCrop1">'Entry Sheet'!$E$5</definedName>
    <definedName name="NumCrop2">'Entry Sheet'!$E$7</definedName>
    <definedName name="NumCrop3">'Entry Sheet'!$E$9</definedName>
    <definedName name="NumCrop4">'Entry Sheet'!$E$11</definedName>
    <definedName name="NumCrop5">'Entry Sheet'!$E$13</definedName>
    <definedName name="NumStock1">'Entry Sheet'!$B$6</definedName>
    <definedName name="NumStock2">'Entry Sheet'!$B$8</definedName>
    <definedName name="NumStock3">'Entry Sheet'!$B$10</definedName>
    <definedName name="NumStock4">'Entry Sheet'!$B$12</definedName>
    <definedName name="NumStock5">'Entry Sheet'!$B$14</definedName>
    <definedName name="Orange">Assumptions!$AE$35:$AE$54</definedName>
    <definedName name="Persons">'Calculation Sheet 1'!$B$14:$M$14</definedName>
    <definedName name="Placer">Assumptions!$AF$35:$AF$54</definedName>
    <definedName name="Plumas">Assumptions!$AG$35:$AG$54</definedName>
    <definedName name="PlumbingType" localSheetId="7">'Calculation Sheet 2'!$B$3</definedName>
    <definedName name="PlumbingType" localSheetId="8">'Calculation Sheet 3'!$B$3</definedName>
    <definedName name="PlumbingType" localSheetId="9">'Calculation Sheet 4'!$B$3</definedName>
    <definedName name="PlumbingType" localSheetId="10">'Calculation Sheet 5'!$B$3</definedName>
    <definedName name="PlumbingType">'Calculation Sheet 1'!$B$3</definedName>
    <definedName name="Residential" localSheetId="7">'Calculation Sheet 2'!#REF!</definedName>
    <definedName name="Residential" localSheetId="8">'Calculation Sheet 3'!#REF!</definedName>
    <definedName name="Residential" localSheetId="9">'Calculation Sheet 4'!#REF!</definedName>
    <definedName name="Residential" localSheetId="10">'Calculation Sheet 5'!#REF!</definedName>
    <definedName name="Residential">'Calculation Sheet 1'!$B$12:$M$12</definedName>
    <definedName name="Riverside">Assumptions!$AH$35:$AH$54</definedName>
    <definedName name="Sacramento">Assumptions!$AI$35:$AI$54</definedName>
    <definedName name="San_Benito">Assumptions!$AJ$35:$AJ$54</definedName>
    <definedName name="San_Bernardino">Assumptions!$AK$35:$AK$54</definedName>
    <definedName name="San_Diego">Assumptions!$AL$35:$AL$54</definedName>
    <definedName name="San_Joaquin">Assumptions!$AM$35:$AM$54</definedName>
    <definedName name="San_Luis_Obispo">Assumptions!$AN$35:$AN$54</definedName>
    <definedName name="San_Mateo">Assumptions!$AO$35:$AO$54</definedName>
    <definedName name="Santa_Barbara">Assumptions!$AP$35:$AP$54</definedName>
    <definedName name="Santa_Clara">Assumptions!$AQ$35:$AQ$54</definedName>
    <definedName name="Santa_Cruz">Assumptions!$AR$35:$AR$54</definedName>
    <definedName name="Shasta">Assumptions!$AS$35:$AS$54</definedName>
    <definedName name="Sierra">Assumptions!$AT$35:$AT$54</definedName>
    <definedName name="Siskiyou">Assumptions!$AU$35:$AU$54</definedName>
    <definedName name="Solano">Assumptions!$AV$35:$AV$54</definedName>
    <definedName name="Sonoma">Assumptions!$AW$35:$AW$54</definedName>
    <definedName name="Stanislaus">Assumptions!$AX$35:$AX$54</definedName>
    <definedName name="Stock" localSheetId="7">'Calculation Sheet 2'!$B$6</definedName>
    <definedName name="Stock" localSheetId="8">'Calculation Sheet 3'!$B$6</definedName>
    <definedName name="Stock" localSheetId="9">'Calculation Sheet 4'!$B$6</definedName>
    <definedName name="Stock" localSheetId="10">'Calculation Sheet 5'!$B$6</definedName>
    <definedName name="Stock">'Calculation Sheet 1'!$B$6</definedName>
    <definedName name="StockType">Assumptions!$A$26:$A$31</definedName>
    <definedName name="SumDomestic" localSheetId="7">'Calculation Sheet 2'!$A$12:$N$17</definedName>
    <definedName name="SumDomestic" localSheetId="8">'Calculation Sheet 3'!$A$13:$N$18</definedName>
    <definedName name="SumDomestic" localSheetId="9">'Calculation Sheet 4'!$A$12:$N$21</definedName>
    <definedName name="SumDomestic" localSheetId="10">'Calculation Sheet 5'!$A$12:$N$21</definedName>
    <definedName name="SumDomestic">'Calculation Sheet 1'!$A$11:$N$23</definedName>
    <definedName name="SumDomesticStockwatering" localSheetId="7">'Calculation Sheet 2'!$N$15</definedName>
    <definedName name="SumDomesticStockwatering" localSheetId="8">'Calculation Sheet 3'!$N$16</definedName>
    <definedName name="SumDomesticStockwatering" localSheetId="9">'Calculation Sheet 4'!$N$15</definedName>
    <definedName name="SumDomesticStockwatering" localSheetId="10">'Calculation Sheet 5'!$N$15</definedName>
    <definedName name="SumDomesticStockwatering">'Calculation Sheet 1'!$N$18</definedName>
    <definedName name="SumIrrigation" localSheetId="7">'Calculation Sheet 2'!$B1:$N1</definedName>
    <definedName name="SumIrrigation" localSheetId="8">'Calculation Sheet 3'!$B1:$N1</definedName>
    <definedName name="SumIrrigation" localSheetId="9">'Calculation Sheet 4'!$A1:$N1</definedName>
    <definedName name="SumIrrigation" localSheetId="10">'Calculation Sheet 5'!$B1:$N1</definedName>
    <definedName name="SumIrrigation">'Calculation Sheet 1'!$B1:$N1</definedName>
    <definedName name="SumIrrigationDomestic">'Calculation Sheet 1'!$N$21</definedName>
    <definedName name="SumResidential" localSheetId="7">'Calculation Sheet 2'!#REF!</definedName>
    <definedName name="SumResidential" localSheetId="8">'Calculation Sheet 3'!#REF!</definedName>
    <definedName name="SumResidential" localSheetId="9">'Calculation Sheet 4'!#REF!</definedName>
    <definedName name="SumResidential" localSheetId="10">'Calculation Sheet 5'!#REF!</definedName>
    <definedName name="SumResidential">'Calculation Sheet 1'!$N$15</definedName>
    <definedName name="SumStockwatering" localSheetId="7">'Calculation Sheet 2'!$B$36:$N$36</definedName>
    <definedName name="SumStockwatering" localSheetId="8">'Calculation Sheet 3'!$B$34:$N$34</definedName>
    <definedName name="SumStockwatering" localSheetId="9">'Calculation Sheet 4'!$B$33:$N$33</definedName>
    <definedName name="SumStockwatering" localSheetId="10">'Calculation Sheet 5'!$B$33:$N$33</definedName>
    <definedName name="SumStockwatering">'Calculation Sheet 1'!$B$36:$N$36</definedName>
    <definedName name="Sutter">Assumptions!$AY$35:$AY$54</definedName>
    <definedName name="Tehama">Assumptions!$AZ$35:$AZ$54</definedName>
    <definedName name="Totals">'Calculation Sheet 1'!$B$41:$N$41,'Calculation Sheet 2'!$B$41:$N$41,'Calculation Sheet 3'!$B$41:$N$41,'Calculation Sheet 5'!$B$41:$N$41</definedName>
    <definedName name="Trinity">Assumptions!$BA$35:$BA$54</definedName>
    <definedName name="Tulare">Assumptions!$BB$35:$BB$54</definedName>
    <definedName name="Tuolumne">Assumptions!$BC$35:$BC$54</definedName>
    <definedName name="TypeComStock1">'Entry Sheet'!$H$3</definedName>
    <definedName name="TypeComStock2">'Entry Sheet'!$H$5</definedName>
    <definedName name="TypeComStock3">'Entry Sheet'!$H$7</definedName>
    <definedName name="TypeComStock4">'Entry Sheet'!$H$9</definedName>
    <definedName name="TypeComStock5">'Entry Sheet'!$H$11</definedName>
    <definedName name="TypeCrop1">'Entry Sheet'!$E$4</definedName>
    <definedName name="TypeCrop2">'Entry Sheet'!$E$6</definedName>
    <definedName name="TypeCrop3">'Entry Sheet'!$E$8</definedName>
    <definedName name="TypeCrop4">'Entry Sheet'!$E$10</definedName>
    <definedName name="TypeCrop5">'Entry Sheet'!$E$12</definedName>
    <definedName name="TypeIrrigation">Assumptions!$A$22:$A$22</definedName>
    <definedName name="TypeStock1">'Entry Sheet'!$B$5</definedName>
    <definedName name="TypeStock2">'Entry Sheet'!$B$7</definedName>
    <definedName name="TypeStock3">'Entry Sheet'!$B$9</definedName>
    <definedName name="TypeStock4">'Entry Sheet'!$B$11</definedName>
    <definedName name="TypeStock5">'Entry Sheet'!$B$13</definedName>
    <definedName name="TypeStockC" localSheetId="7">Assumptions!$A$26:$A$31</definedName>
    <definedName name="TypeStockC" localSheetId="8">Assumptions!$A$26:$A$31</definedName>
    <definedName name="TypeStockC" localSheetId="9">Assumptions!$A$26:$A$31</definedName>
    <definedName name="TypeStockC" localSheetId="10">Assumptions!$A$26:$A$31</definedName>
    <definedName name="TypeStockC">Assumptions!$A$26:$A$31</definedName>
    <definedName name="TypeStockD" localSheetId="7">Assumptions!$A$14:$A$18</definedName>
    <definedName name="TypeStockD" localSheetId="8">Assumptions!$A$14:$A$18</definedName>
    <definedName name="TypeStockD" localSheetId="9">Assumptions!$A$14:$A$18</definedName>
    <definedName name="TypeStockD" localSheetId="10">Assumptions!$A$14:$A$18</definedName>
    <definedName name="TypeStockD">Assumptions!$A$14:$A$18</definedName>
    <definedName name="Ventura">Assumptions!$BD$35:$BD$54</definedName>
    <definedName name="Yolo">Assumptions!$BE$35:$BE$54</definedName>
    <definedName name="Yuba">Assumptions!$BF$35:$BF$54</definedName>
    <definedName name="Z_A3E8C8DD_8C60_4C83_AE95_312CF58B6ABA_.wvu.FilterData" localSheetId="1" hidden="1">'Entry Sheet'!$A$25:$M$33</definedName>
  </definedNames>
  <calcPr calcId="162913"/>
  <customWorkbookViews>
    <customWorkbookView name="Alemi, Payman@Waterboards - Personal View" guid="{A3E8C8DD-8C60-4C83-AE95-312CF58B6ABA}" mergeInterval="0" personalView="1" maximized="1" xWindow="-8" yWindow="-8" windowWidth="1936" windowHeight="1066" tabRatio="716" activeSheetId="3"/>
  </customWorkbookViews>
</workbook>
</file>

<file path=xl/calcChain.xml><?xml version="1.0" encoding="utf-8"?>
<calcChain xmlns="http://schemas.openxmlformats.org/spreadsheetml/2006/main">
  <c r="E5" i="6" l="1"/>
  <c r="E4" i="8" l="1"/>
  <c r="E4" i="7"/>
  <c r="C14" i="6" l="1"/>
  <c r="D14" i="6"/>
  <c r="E14" i="6"/>
  <c r="F14" i="6"/>
  <c r="G14" i="6"/>
  <c r="H14" i="6"/>
  <c r="I14" i="6"/>
  <c r="J14" i="6"/>
  <c r="K14" i="6"/>
  <c r="L14" i="6"/>
  <c r="M14" i="6"/>
  <c r="B14" i="6"/>
  <c r="C6" i="3"/>
  <c r="C7" i="3"/>
  <c r="C8" i="3"/>
  <c r="C9" i="3"/>
  <c r="C10" i="3"/>
  <c r="C11" i="3"/>
  <c r="C5" i="3"/>
  <c r="B36" i="3" l="1"/>
  <c r="BG55" i="3"/>
  <c r="BG60" i="3"/>
  <c r="BG61" i="3"/>
  <c r="BG62" i="3"/>
  <c r="BG63" i="3"/>
  <c r="BG64" i="3"/>
  <c r="BG65" i="3"/>
  <c r="BG66" i="3"/>
  <c r="BG67" i="3"/>
  <c r="BG68" i="3"/>
  <c r="BG69" i="3"/>
  <c r="BG70" i="3"/>
  <c r="BG71" i="3"/>
  <c r="BG72" i="3"/>
  <c r="BG73" i="3"/>
  <c r="BG74" i="3"/>
  <c r="BG75" i="3"/>
  <c r="BG76" i="3"/>
  <c r="BG77" i="3"/>
  <c r="BG78" i="3"/>
  <c r="BG59" i="3"/>
  <c r="E4" i="9" l="1"/>
  <c r="G44" i="3" l="1"/>
  <c r="B7" i="6" l="1"/>
  <c r="C36"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37" i="3"/>
  <c r="C37"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38" i="3"/>
  <c r="C38"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39" i="3"/>
  <c r="C39"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40" i="3"/>
  <c r="C40"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41" i="3"/>
  <c r="C41"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42" i="3"/>
  <c r="C4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43" i="3"/>
  <c r="C43"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44" i="3"/>
  <c r="C44" i="3"/>
  <c r="D44" i="3"/>
  <c r="E44" i="3"/>
  <c r="F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45" i="3"/>
  <c r="C45"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46" i="3"/>
  <c r="C46"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47" i="3"/>
  <c r="C47"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48" i="3"/>
  <c r="C48"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49" i="3"/>
  <c r="C49"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50" i="3"/>
  <c r="C50"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51" i="3"/>
  <c r="C51"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52" i="3"/>
  <c r="C52"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53" i="3"/>
  <c r="C53"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54" i="3"/>
  <c r="C54"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C35"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35" i="3"/>
  <c r="C15" i="8"/>
  <c r="D15" i="8"/>
  <c r="E15" i="8"/>
  <c r="BG48" i="3" l="1"/>
  <c r="BG43" i="3"/>
  <c r="BG39" i="3"/>
  <c r="BG51" i="3"/>
  <c r="BG47" i="3"/>
  <c r="BG42" i="3"/>
  <c r="BG38" i="3"/>
  <c r="BG52" i="3"/>
  <c r="BG54" i="3"/>
  <c r="BG50" i="3"/>
  <c r="BG46" i="3"/>
  <c r="BG41" i="3"/>
  <c r="BG37" i="3"/>
  <c r="BG36" i="3"/>
  <c r="BG35" i="3"/>
  <c r="BG53" i="3"/>
  <c r="BG49" i="3"/>
  <c r="BG45" i="3"/>
  <c r="BG44" i="3"/>
  <c r="BG40" i="3"/>
  <c r="H3" i="10"/>
  <c r="E4" i="10"/>
  <c r="B5" i="10"/>
  <c r="B5" i="9"/>
  <c r="H3" i="9"/>
  <c r="H3" i="8"/>
  <c r="B5" i="8"/>
  <c r="B5" i="7"/>
  <c r="B13" i="7" s="1"/>
  <c r="H3" i="7"/>
  <c r="H3" i="6"/>
  <c r="H4" i="6"/>
  <c r="E4" i="6"/>
  <c r="B5" i="6"/>
  <c r="B6" i="10"/>
  <c r="E5" i="10"/>
  <c r="H4" i="10"/>
  <c r="H4" i="9"/>
  <c r="E5" i="9"/>
  <c r="B6" i="9"/>
  <c r="B6" i="8"/>
  <c r="E5" i="8"/>
  <c r="H4" i="8"/>
  <c r="H4" i="7"/>
  <c r="E5" i="7"/>
  <c r="B6" i="7"/>
  <c r="B6" i="6"/>
  <c r="C34" i="6" l="1"/>
  <c r="G34" i="6"/>
  <c r="K34" i="6"/>
  <c r="I34" i="6"/>
  <c r="F34" i="6"/>
  <c r="B34" i="6"/>
  <c r="D34" i="6"/>
  <c r="H34" i="6"/>
  <c r="L34" i="6"/>
  <c r="E34" i="6"/>
  <c r="M34" i="6"/>
  <c r="J34" i="6"/>
  <c r="C16" i="6"/>
  <c r="G16" i="6"/>
  <c r="K16" i="6"/>
  <c r="M16" i="6"/>
  <c r="J16" i="6"/>
  <c r="D16" i="6"/>
  <c r="H16" i="6"/>
  <c r="L16" i="6"/>
  <c r="I16" i="6"/>
  <c r="F16" i="6"/>
  <c r="E16" i="6"/>
  <c r="B16" i="6"/>
  <c r="E13" i="7"/>
  <c r="I13" i="7"/>
  <c r="M13" i="7"/>
  <c r="J13" i="7"/>
  <c r="C13" i="7"/>
  <c r="G13" i="7"/>
  <c r="K13" i="7"/>
  <c r="D13" i="7"/>
  <c r="H13" i="7"/>
  <c r="L13" i="7"/>
  <c r="F13" i="7"/>
  <c r="C13" i="9"/>
  <c r="G13" i="9"/>
  <c r="K13" i="9"/>
  <c r="D13" i="9"/>
  <c r="H13" i="9"/>
  <c r="L13" i="9"/>
  <c r="E13" i="9"/>
  <c r="I13" i="9"/>
  <c r="M13" i="9"/>
  <c r="F13" i="9"/>
  <c r="J13" i="9"/>
  <c r="B13" i="9"/>
  <c r="F34" i="7"/>
  <c r="J34" i="7"/>
  <c r="B34" i="7"/>
  <c r="C34" i="7"/>
  <c r="G34" i="7"/>
  <c r="K34" i="7"/>
  <c r="D34" i="7"/>
  <c r="H34" i="7"/>
  <c r="L34" i="7"/>
  <c r="E34" i="7"/>
  <c r="I34" i="7"/>
  <c r="M34" i="7"/>
  <c r="F13" i="10"/>
  <c r="J13" i="10"/>
  <c r="B13" i="10"/>
  <c r="C13" i="10"/>
  <c r="K13" i="10"/>
  <c r="D13" i="10"/>
  <c r="H13" i="10"/>
  <c r="L13" i="10"/>
  <c r="E13" i="10"/>
  <c r="I13" i="10"/>
  <c r="M13" i="10"/>
  <c r="G13" i="10"/>
  <c r="C31" i="9"/>
  <c r="G31" i="9"/>
  <c r="K31" i="9"/>
  <c r="D31" i="9"/>
  <c r="H31" i="9"/>
  <c r="L31" i="9"/>
  <c r="E31" i="9"/>
  <c r="I31" i="9"/>
  <c r="M31" i="9"/>
  <c r="F31" i="9"/>
  <c r="J31" i="9"/>
  <c r="B31" i="9"/>
  <c r="F31" i="10"/>
  <c r="J31" i="10"/>
  <c r="B31" i="10"/>
  <c r="C31" i="10"/>
  <c r="G31" i="10"/>
  <c r="K31" i="10"/>
  <c r="D31" i="10"/>
  <c r="H31" i="10"/>
  <c r="L31" i="10"/>
  <c r="E31" i="10"/>
  <c r="I31" i="10"/>
  <c r="M31" i="10"/>
  <c r="C32" i="8"/>
  <c r="G32" i="8"/>
  <c r="K32" i="8"/>
  <c r="D32" i="8"/>
  <c r="H32" i="8"/>
  <c r="L32" i="8"/>
  <c r="E32" i="8"/>
  <c r="I32" i="8"/>
  <c r="M32" i="8"/>
  <c r="F32" i="8"/>
  <c r="J32" i="8"/>
  <c r="B32" i="8"/>
  <c r="C14" i="8"/>
  <c r="G14" i="8"/>
  <c r="K14" i="8"/>
  <c r="D14" i="8"/>
  <c r="H14" i="8"/>
  <c r="L14" i="8"/>
  <c r="E14" i="8"/>
  <c r="I14" i="8"/>
  <c r="M14" i="8"/>
  <c r="B14" i="8"/>
  <c r="F14" i="8"/>
  <c r="J14" i="8"/>
  <c r="B15" i="8"/>
  <c r="F15" i="8"/>
  <c r="G15" i="8"/>
  <c r="H15" i="8"/>
  <c r="I15" i="8"/>
  <c r="J15" i="8"/>
  <c r="K15" i="8"/>
  <c r="L15" i="8"/>
  <c r="M15" i="8"/>
  <c r="A24" i="9"/>
  <c r="A25" i="9"/>
  <c r="A26" i="9"/>
  <c r="A27" i="9"/>
  <c r="A27" i="10" s="1"/>
  <c r="E3" i="10"/>
  <c r="E3" i="9"/>
  <c r="E3" i="8"/>
  <c r="E3" i="7"/>
  <c r="E3" i="6"/>
  <c r="B20" i="6"/>
  <c r="B21" i="6" s="1"/>
  <c r="B17" i="6"/>
  <c r="B13" i="6"/>
  <c r="D27" i="6" l="1"/>
  <c r="H27" i="6"/>
  <c r="L27" i="6"/>
  <c r="K27" i="6"/>
  <c r="E27" i="6"/>
  <c r="I27" i="6"/>
  <c r="M27" i="6"/>
  <c r="G27" i="6"/>
  <c r="F27" i="6"/>
  <c r="J27" i="6"/>
  <c r="B27" i="6"/>
  <c r="C27" i="6"/>
  <c r="C24" i="9"/>
  <c r="G24" i="9"/>
  <c r="K24" i="9"/>
  <c r="D24" i="9"/>
  <c r="H24" i="9"/>
  <c r="L24" i="9"/>
  <c r="E24" i="9"/>
  <c r="I24" i="9"/>
  <c r="M24" i="9"/>
  <c r="F24" i="9"/>
  <c r="J24" i="9"/>
  <c r="B24" i="9"/>
  <c r="C24" i="10"/>
  <c r="G24" i="10"/>
  <c r="K24" i="10"/>
  <c r="D24" i="10"/>
  <c r="H24" i="10"/>
  <c r="L24" i="10"/>
  <c r="E24" i="10"/>
  <c r="I24" i="10"/>
  <c r="M24" i="10"/>
  <c r="F24" i="10"/>
  <c r="J24" i="10"/>
  <c r="B24" i="10"/>
  <c r="C27" i="7"/>
  <c r="G27" i="7"/>
  <c r="K27" i="7"/>
  <c r="D27" i="7"/>
  <c r="H27" i="7"/>
  <c r="L27" i="7"/>
  <c r="E27" i="7"/>
  <c r="I27" i="7"/>
  <c r="M27" i="7"/>
  <c r="F27" i="7"/>
  <c r="J27" i="7"/>
  <c r="B27" i="7"/>
  <c r="B18" i="6"/>
  <c r="N15" i="8"/>
  <c r="A24" i="10"/>
  <c r="A26" i="10"/>
  <c r="B4" i="6"/>
  <c r="B3" i="6"/>
  <c r="M12" i="6" l="1"/>
  <c r="B12" i="6"/>
  <c r="C12" i="6"/>
  <c r="G12" i="6"/>
  <c r="K12" i="6"/>
  <c r="D12" i="6"/>
  <c r="H12" i="6"/>
  <c r="L12" i="6"/>
  <c r="J12" i="6"/>
  <c r="E12" i="6"/>
  <c r="I12" i="6"/>
  <c r="F12" i="6"/>
  <c r="A25" i="10"/>
  <c r="C14" i="9"/>
  <c r="D14" i="9"/>
  <c r="E14" i="9"/>
  <c r="F14" i="9"/>
  <c r="G14" i="9"/>
  <c r="H14" i="9"/>
  <c r="I14" i="9"/>
  <c r="J14" i="9"/>
  <c r="K14" i="9"/>
  <c r="L14" i="9"/>
  <c r="M14" i="9"/>
  <c r="B14" i="9"/>
  <c r="B15" i="9" s="1"/>
  <c r="C14" i="10"/>
  <c r="D14" i="10"/>
  <c r="E14" i="10"/>
  <c r="F14" i="10"/>
  <c r="G14" i="10"/>
  <c r="H14" i="10"/>
  <c r="I14" i="10"/>
  <c r="J14" i="10"/>
  <c r="K14" i="10"/>
  <c r="L14" i="10"/>
  <c r="M14" i="10"/>
  <c r="B14" i="10"/>
  <c r="C32" i="10"/>
  <c r="D32" i="10"/>
  <c r="E32" i="10"/>
  <c r="F32" i="10"/>
  <c r="G32" i="10"/>
  <c r="H32" i="10"/>
  <c r="I32" i="10"/>
  <c r="J32" i="10"/>
  <c r="K32" i="10"/>
  <c r="L32" i="10"/>
  <c r="M32" i="10"/>
  <c r="M33" i="10" s="1"/>
  <c r="B32" i="10"/>
  <c r="C25" i="10"/>
  <c r="D25" i="10"/>
  <c r="E25" i="10"/>
  <c r="F25" i="10"/>
  <c r="G25" i="10"/>
  <c r="H25" i="10"/>
  <c r="I25" i="10"/>
  <c r="J25" i="10"/>
  <c r="K25" i="10"/>
  <c r="L25" i="10"/>
  <c r="M25" i="10"/>
  <c r="B25" i="10"/>
  <c r="C32" i="9"/>
  <c r="D32" i="9"/>
  <c r="E32" i="9"/>
  <c r="F32" i="9"/>
  <c r="G32" i="9"/>
  <c r="H32" i="9"/>
  <c r="I32" i="9"/>
  <c r="J32" i="9"/>
  <c r="K32" i="9"/>
  <c r="L32" i="9"/>
  <c r="M32" i="9"/>
  <c r="M33" i="9" s="1"/>
  <c r="B32" i="9"/>
  <c r="C25" i="9"/>
  <c r="D25" i="9"/>
  <c r="E25" i="9"/>
  <c r="F25" i="9"/>
  <c r="G25" i="9"/>
  <c r="H25" i="9"/>
  <c r="I25" i="9"/>
  <c r="J25" i="9"/>
  <c r="K25" i="9"/>
  <c r="L25" i="9"/>
  <c r="M25" i="9"/>
  <c r="B25" i="9"/>
  <c r="B28" i="6"/>
  <c r="C33" i="8"/>
  <c r="D33" i="8"/>
  <c r="E33" i="8"/>
  <c r="F33" i="8"/>
  <c r="G33" i="8"/>
  <c r="H33" i="8"/>
  <c r="I33" i="8"/>
  <c r="J33" i="8"/>
  <c r="K33" i="8"/>
  <c r="L33" i="8"/>
  <c r="M33" i="8"/>
  <c r="M34" i="8" s="1"/>
  <c r="B33" i="8"/>
  <c r="B26" i="8"/>
  <c r="C35" i="7"/>
  <c r="C36" i="7" s="1"/>
  <c r="D35" i="7"/>
  <c r="D36" i="7" s="1"/>
  <c r="E35" i="7"/>
  <c r="E36" i="7" s="1"/>
  <c r="F35" i="7"/>
  <c r="F36" i="7" s="1"/>
  <c r="G35" i="7"/>
  <c r="G36" i="7" s="1"/>
  <c r="H35" i="7"/>
  <c r="H36" i="7" s="1"/>
  <c r="I35" i="7"/>
  <c r="I36" i="7" s="1"/>
  <c r="J35" i="7"/>
  <c r="J36" i="7" s="1"/>
  <c r="K35" i="7"/>
  <c r="K36" i="7" s="1"/>
  <c r="L35" i="7"/>
  <c r="L36" i="7" s="1"/>
  <c r="M35" i="7"/>
  <c r="M36" i="7" s="1"/>
  <c r="B35" i="7"/>
  <c r="B36" i="7" s="1"/>
  <c r="C28" i="7"/>
  <c r="D28" i="7"/>
  <c r="E28" i="7"/>
  <c r="F28" i="7"/>
  <c r="G28" i="7"/>
  <c r="H28" i="7"/>
  <c r="I28" i="7"/>
  <c r="J28" i="7"/>
  <c r="K28" i="7"/>
  <c r="L28" i="7"/>
  <c r="M28" i="7"/>
  <c r="B28" i="7"/>
  <c r="C26" i="8"/>
  <c r="D26" i="8"/>
  <c r="E26" i="8"/>
  <c r="F26" i="8"/>
  <c r="G26" i="8"/>
  <c r="H26" i="8"/>
  <c r="I26" i="8"/>
  <c r="J26" i="8"/>
  <c r="K26" i="8"/>
  <c r="L26" i="8"/>
  <c r="M26" i="8"/>
  <c r="C14" i="7"/>
  <c r="D14" i="7"/>
  <c r="E14" i="7"/>
  <c r="F14" i="7"/>
  <c r="G14" i="7"/>
  <c r="H14" i="7"/>
  <c r="I14" i="7"/>
  <c r="J14" i="7"/>
  <c r="K14" i="7"/>
  <c r="L14" i="7"/>
  <c r="M14" i="7"/>
  <c r="B14" i="7"/>
  <c r="J15" i="10"/>
  <c r="B4" i="10"/>
  <c r="B3" i="10"/>
  <c r="B4" i="9"/>
  <c r="B3" i="9"/>
  <c r="B4" i="8"/>
  <c r="B3" i="8"/>
  <c r="B4" i="7"/>
  <c r="B3" i="7"/>
  <c r="C25" i="8" l="1"/>
  <c r="H25" i="8"/>
  <c r="H27" i="8" s="1"/>
  <c r="M25" i="8"/>
  <c r="M27" i="8" s="1"/>
  <c r="G25" i="8"/>
  <c r="G27" i="8" s="1"/>
  <c r="L25" i="8"/>
  <c r="F25" i="8"/>
  <c r="K25" i="8"/>
  <c r="E25" i="8"/>
  <c r="J25" i="8"/>
  <c r="J27" i="8" s="1"/>
  <c r="D25" i="8"/>
  <c r="D27" i="8" s="1"/>
  <c r="I25" i="8"/>
  <c r="I27" i="8" s="1"/>
  <c r="B25" i="8"/>
  <c r="B27" i="8" s="1"/>
  <c r="L27" i="8"/>
  <c r="B29" i="6"/>
  <c r="D16" i="8"/>
  <c r="H16" i="8"/>
  <c r="L16" i="8"/>
  <c r="E16" i="8"/>
  <c r="I16" i="8"/>
  <c r="M16" i="8"/>
  <c r="B16" i="8"/>
  <c r="F16" i="8"/>
  <c r="J16" i="8"/>
  <c r="C16" i="8"/>
  <c r="G16" i="8"/>
  <c r="K16" i="8"/>
  <c r="M26" i="10"/>
  <c r="M27" i="10" s="1"/>
  <c r="J15" i="7"/>
  <c r="L29" i="7"/>
  <c r="E29" i="7"/>
  <c r="I29" i="7"/>
  <c r="M29" i="7"/>
  <c r="G29" i="7"/>
  <c r="F29" i="7"/>
  <c r="J29" i="7"/>
  <c r="B29" i="7"/>
  <c r="C29" i="7"/>
  <c r="K29" i="7"/>
  <c r="D26" i="9"/>
  <c r="D27" i="9" s="1"/>
  <c r="H26" i="9"/>
  <c r="H27" i="9" s="1"/>
  <c r="E26" i="9"/>
  <c r="E27" i="9" s="1"/>
  <c r="I26" i="9"/>
  <c r="I27" i="9" s="1"/>
  <c r="F26" i="9"/>
  <c r="F27" i="9" s="1"/>
  <c r="J26" i="9"/>
  <c r="J27" i="9" s="1"/>
  <c r="B26" i="9"/>
  <c r="K26" i="9"/>
  <c r="K27" i="9" s="1"/>
  <c r="M34" i="10"/>
  <c r="M34" i="9"/>
  <c r="M37" i="7"/>
  <c r="D15" i="9"/>
  <c r="M35" i="8"/>
  <c r="L15" i="9"/>
  <c r="D15" i="10"/>
  <c r="H15" i="10"/>
  <c r="L15" i="10"/>
  <c r="H15" i="9"/>
  <c r="N28" i="7"/>
  <c r="N35" i="7"/>
  <c r="N26" i="8"/>
  <c r="N33" i="8"/>
  <c r="E15" i="9"/>
  <c r="N25" i="9"/>
  <c r="N32" i="9"/>
  <c r="E15" i="10"/>
  <c r="B26" i="10"/>
  <c r="F26" i="10"/>
  <c r="J26" i="10"/>
  <c r="N25" i="10"/>
  <c r="N32" i="10"/>
  <c r="D26" i="10"/>
  <c r="H26" i="10"/>
  <c r="N14" i="7"/>
  <c r="N14" i="9"/>
  <c r="N14" i="10"/>
  <c r="I26" i="10"/>
  <c r="C15" i="10"/>
  <c r="G15" i="10"/>
  <c r="K15" i="10"/>
  <c r="I15" i="10"/>
  <c r="M15" i="10"/>
  <c r="B15" i="10"/>
  <c r="F15" i="10"/>
  <c r="F15" i="9"/>
  <c r="J15" i="9"/>
  <c r="C15" i="9"/>
  <c r="G15" i="9"/>
  <c r="K15" i="9"/>
  <c r="I15" i="9"/>
  <c r="M15" i="9"/>
  <c r="C15" i="7"/>
  <c r="G15" i="7"/>
  <c r="K15" i="7"/>
  <c r="D15" i="7"/>
  <c r="H15" i="7"/>
  <c r="L15" i="7"/>
  <c r="E15" i="7"/>
  <c r="I15" i="7"/>
  <c r="M15" i="7"/>
  <c r="B15" i="7"/>
  <c r="F15" i="7"/>
  <c r="D29" i="7" l="1"/>
  <c r="D30" i="7" s="1"/>
  <c r="H29" i="7"/>
  <c r="H30" i="7" s="1"/>
  <c r="D28" i="8"/>
  <c r="G28" i="8"/>
  <c r="K27" i="8"/>
  <c r="K28" i="8" s="1"/>
  <c r="E27" i="8"/>
  <c r="E28" i="8" s="1"/>
  <c r="L28" i="8"/>
  <c r="C27" i="8"/>
  <c r="C28" i="8" s="1"/>
  <c r="F27" i="8"/>
  <c r="F28" i="8" s="1"/>
  <c r="H33" i="10"/>
  <c r="H34" i="10" s="1"/>
  <c r="G33" i="10"/>
  <c r="G34" i="10" s="1"/>
  <c r="D33" i="10"/>
  <c r="D34" i="10" s="1"/>
  <c r="C33" i="10"/>
  <c r="C34" i="10" s="1"/>
  <c r="I33" i="10"/>
  <c r="I34" i="10" s="1"/>
  <c r="L33" i="10"/>
  <c r="L34" i="10" s="1"/>
  <c r="K33" i="10"/>
  <c r="K34" i="10" s="1"/>
  <c r="J33" i="10"/>
  <c r="J34" i="10" s="1"/>
  <c r="F33" i="10"/>
  <c r="F34" i="10" s="1"/>
  <c r="E33" i="10"/>
  <c r="E34" i="10" s="1"/>
  <c r="B33" i="10"/>
  <c r="L33" i="9"/>
  <c r="L34" i="9" s="1"/>
  <c r="K33" i="9"/>
  <c r="K34" i="9" s="1"/>
  <c r="E33" i="9"/>
  <c r="E34" i="9" s="1"/>
  <c r="H33" i="9"/>
  <c r="H34" i="9" s="1"/>
  <c r="D33" i="9"/>
  <c r="D34" i="9" s="1"/>
  <c r="C33" i="9"/>
  <c r="C34" i="9" s="1"/>
  <c r="B33" i="9"/>
  <c r="B34" i="9" s="1"/>
  <c r="G33" i="9"/>
  <c r="G34" i="9" s="1"/>
  <c r="I33" i="9"/>
  <c r="I34" i="9" s="1"/>
  <c r="J33" i="9"/>
  <c r="J34" i="9" s="1"/>
  <c r="F33" i="9"/>
  <c r="F34" i="9" s="1"/>
  <c r="L34" i="8"/>
  <c r="L35" i="8" s="1"/>
  <c r="I34" i="8"/>
  <c r="I35" i="8" s="1"/>
  <c r="J34" i="8"/>
  <c r="J35" i="8" s="1"/>
  <c r="F34" i="8"/>
  <c r="F35" i="8" s="1"/>
  <c r="B34" i="8"/>
  <c r="B35" i="8" s="1"/>
  <c r="K34" i="8"/>
  <c r="K35" i="8" s="1"/>
  <c r="H34" i="8"/>
  <c r="H35" i="8" s="1"/>
  <c r="G34" i="8"/>
  <c r="G35" i="8" s="1"/>
  <c r="E34" i="8"/>
  <c r="E35" i="8" s="1"/>
  <c r="D34" i="8"/>
  <c r="D35" i="8" s="1"/>
  <c r="C34" i="8"/>
  <c r="C35" i="8" s="1"/>
  <c r="E37" i="7"/>
  <c r="H37" i="7"/>
  <c r="I37" i="7"/>
  <c r="G37" i="7"/>
  <c r="K37" i="7"/>
  <c r="J37" i="7"/>
  <c r="C37" i="7"/>
  <c r="L37" i="7"/>
  <c r="F37" i="7"/>
  <c r="D37" i="7"/>
  <c r="N14" i="8"/>
  <c r="N16" i="8"/>
  <c r="I27" i="10"/>
  <c r="D27" i="10"/>
  <c r="E26" i="10"/>
  <c r="G26" i="10"/>
  <c r="G27" i="10" s="1"/>
  <c r="J27" i="10"/>
  <c r="H27" i="10"/>
  <c r="F27" i="10"/>
  <c r="K26" i="10"/>
  <c r="C26" i="10"/>
  <c r="C27" i="10" s="1"/>
  <c r="L26" i="10"/>
  <c r="L27" i="10" s="1"/>
  <c r="M26" i="9"/>
  <c r="M27" i="9" s="1"/>
  <c r="C26" i="9"/>
  <c r="G26" i="9"/>
  <c r="L26" i="9"/>
  <c r="J28" i="8"/>
  <c r="I28" i="8"/>
  <c r="H28" i="8"/>
  <c r="I30" i="7"/>
  <c r="K30" i="7"/>
  <c r="F30" i="7"/>
  <c r="G30" i="7"/>
  <c r="E30" i="7"/>
  <c r="L30" i="7"/>
  <c r="N36" i="7"/>
  <c r="N37" i="7" s="1"/>
  <c r="N13" i="7"/>
  <c r="N15" i="9"/>
  <c r="N13" i="9"/>
  <c r="B37" i="7"/>
  <c r="N13" i="10"/>
  <c r="N15" i="10"/>
  <c r="B27" i="10"/>
  <c r="B27" i="9"/>
  <c r="B28" i="8"/>
  <c r="B30" i="7"/>
  <c r="C35" i="6"/>
  <c r="D35" i="6"/>
  <c r="E35" i="6"/>
  <c r="F35" i="6"/>
  <c r="G35" i="6"/>
  <c r="H35" i="6"/>
  <c r="I35" i="6"/>
  <c r="J35" i="6"/>
  <c r="K35" i="6"/>
  <c r="L35" i="6"/>
  <c r="M35" i="6"/>
  <c r="B35" i="6"/>
  <c r="B36" i="6" s="1"/>
  <c r="C28" i="6"/>
  <c r="C29" i="6" s="1"/>
  <c r="D28" i="6"/>
  <c r="D29" i="6" s="1"/>
  <c r="E28" i="6"/>
  <c r="E29" i="6" s="1"/>
  <c r="F28" i="6"/>
  <c r="F29" i="6" s="1"/>
  <c r="G28" i="6"/>
  <c r="G29" i="6" s="1"/>
  <c r="H28" i="6"/>
  <c r="H29" i="6" s="1"/>
  <c r="I28" i="6"/>
  <c r="I29" i="6" s="1"/>
  <c r="J28" i="6"/>
  <c r="J29" i="6" s="1"/>
  <c r="K28" i="6"/>
  <c r="K29" i="6" s="1"/>
  <c r="L28" i="6"/>
  <c r="L29" i="6" s="1"/>
  <c r="M28" i="6"/>
  <c r="M29" i="6" s="1"/>
  <c r="C20" i="6"/>
  <c r="C21" i="6" s="1"/>
  <c r="D20" i="6"/>
  <c r="D21" i="6" s="1"/>
  <c r="E20" i="6"/>
  <c r="E21" i="6" s="1"/>
  <c r="F20" i="6"/>
  <c r="F21" i="6" s="1"/>
  <c r="G20" i="6"/>
  <c r="G21" i="6" s="1"/>
  <c r="H20" i="6"/>
  <c r="H21" i="6" s="1"/>
  <c r="I20" i="6"/>
  <c r="I21" i="6" s="1"/>
  <c r="J20" i="6"/>
  <c r="J21" i="6" s="1"/>
  <c r="K20" i="6"/>
  <c r="K21" i="6" s="1"/>
  <c r="L20" i="6"/>
  <c r="L21" i="6" s="1"/>
  <c r="M20" i="6"/>
  <c r="M21" i="6" s="1"/>
  <c r="C17" i="6"/>
  <c r="C18" i="6" s="1"/>
  <c r="D17" i="6"/>
  <c r="D18" i="6" s="1"/>
  <c r="E17" i="6"/>
  <c r="E18" i="6" s="1"/>
  <c r="F17" i="6"/>
  <c r="F18" i="6" s="1"/>
  <c r="G17" i="6"/>
  <c r="G18" i="6" s="1"/>
  <c r="H17" i="6"/>
  <c r="H18" i="6" s="1"/>
  <c r="I17" i="6"/>
  <c r="I18" i="6" s="1"/>
  <c r="J17" i="6"/>
  <c r="J18" i="6" s="1"/>
  <c r="K17" i="6"/>
  <c r="K18" i="6" s="1"/>
  <c r="L17" i="6"/>
  <c r="L18" i="6" s="1"/>
  <c r="M17" i="6"/>
  <c r="M18" i="6" s="1"/>
  <c r="C13" i="6"/>
  <c r="D13" i="6"/>
  <c r="E13" i="6"/>
  <c r="F13" i="6"/>
  <c r="G13" i="6"/>
  <c r="H13" i="6"/>
  <c r="I13" i="6"/>
  <c r="J13" i="6"/>
  <c r="K13" i="6"/>
  <c r="L13" i="6"/>
  <c r="M13" i="6"/>
  <c r="N33" i="10" l="1"/>
  <c r="N34" i="10" s="1"/>
  <c r="N33" i="9"/>
  <c r="N34" i="9" s="1"/>
  <c r="N34" i="8"/>
  <c r="N35" i="8" s="1"/>
  <c r="B34" i="10"/>
  <c r="N26" i="10"/>
  <c r="N27" i="10" s="1"/>
  <c r="E27" i="10"/>
  <c r="K27" i="10"/>
  <c r="L27" i="9"/>
  <c r="N26" i="9"/>
  <c r="N27" i="9" s="1"/>
  <c r="N27" i="8"/>
  <c r="N28" i="8" s="1"/>
  <c r="M30" i="7"/>
  <c r="J30" i="7"/>
  <c r="N29" i="7"/>
  <c r="N30" i="7" s="1"/>
  <c r="C30" i="7"/>
  <c r="G27" i="9"/>
  <c r="C27" i="9"/>
  <c r="M28" i="8"/>
  <c r="N15" i="7"/>
  <c r="B96" i="3"/>
  <c r="C96" i="3"/>
  <c r="D96" i="3"/>
  <c r="E96" i="3"/>
  <c r="F96" i="3"/>
  <c r="G96" i="3"/>
  <c r="H96" i="3"/>
  <c r="I96" i="3"/>
  <c r="J96" i="3"/>
  <c r="K96" i="3"/>
  <c r="L96" i="3"/>
  <c r="M96" i="3"/>
  <c r="B97" i="3"/>
  <c r="C97" i="3"/>
  <c r="D97" i="3"/>
  <c r="E97" i="3"/>
  <c r="F97" i="3"/>
  <c r="G97" i="3"/>
  <c r="H97" i="3"/>
  <c r="I97" i="3"/>
  <c r="J97" i="3"/>
  <c r="K97" i="3"/>
  <c r="L97" i="3"/>
  <c r="M97" i="3"/>
  <c r="B98" i="3"/>
  <c r="C98" i="3"/>
  <c r="D98" i="3"/>
  <c r="E98" i="3"/>
  <c r="F98" i="3"/>
  <c r="G98" i="3"/>
  <c r="H98" i="3"/>
  <c r="I98" i="3"/>
  <c r="J98" i="3"/>
  <c r="K98" i="3"/>
  <c r="L98" i="3"/>
  <c r="M98" i="3"/>
  <c r="B99" i="3"/>
  <c r="C99" i="3"/>
  <c r="D99" i="3"/>
  <c r="E99" i="3"/>
  <c r="F99" i="3"/>
  <c r="G99" i="3"/>
  <c r="H99" i="3"/>
  <c r="I99" i="3"/>
  <c r="J99" i="3"/>
  <c r="K99" i="3"/>
  <c r="L99" i="3"/>
  <c r="M99" i="3"/>
  <c r="B100" i="3"/>
  <c r="C100" i="3"/>
  <c r="D100" i="3"/>
  <c r="E100" i="3"/>
  <c r="F100" i="3"/>
  <c r="G100" i="3"/>
  <c r="H100" i="3"/>
  <c r="I100" i="3"/>
  <c r="J100" i="3"/>
  <c r="K100" i="3"/>
  <c r="L100" i="3"/>
  <c r="M100" i="3"/>
  <c r="B101" i="3"/>
  <c r="C101" i="3"/>
  <c r="D101" i="3"/>
  <c r="E101" i="3"/>
  <c r="F101" i="3"/>
  <c r="G101" i="3"/>
  <c r="H101" i="3"/>
  <c r="I101" i="3"/>
  <c r="J101" i="3"/>
  <c r="K101" i="3"/>
  <c r="L101" i="3"/>
  <c r="M101" i="3"/>
  <c r="B102" i="3"/>
  <c r="C102" i="3"/>
  <c r="D102" i="3"/>
  <c r="E102" i="3"/>
  <c r="F102" i="3"/>
  <c r="G102" i="3"/>
  <c r="H102" i="3"/>
  <c r="I102" i="3"/>
  <c r="J102" i="3"/>
  <c r="K102" i="3"/>
  <c r="L102" i="3"/>
  <c r="M102" i="3"/>
  <c r="B103" i="3"/>
  <c r="C103" i="3"/>
  <c r="D103" i="3"/>
  <c r="E103" i="3"/>
  <c r="F103" i="3"/>
  <c r="G103" i="3"/>
  <c r="H103" i="3"/>
  <c r="I103" i="3"/>
  <c r="J103" i="3"/>
  <c r="K103" i="3"/>
  <c r="L103" i="3"/>
  <c r="M103" i="3"/>
  <c r="B104" i="3"/>
  <c r="C104" i="3"/>
  <c r="D104" i="3"/>
  <c r="E104" i="3"/>
  <c r="F104" i="3"/>
  <c r="G104" i="3"/>
  <c r="H104" i="3"/>
  <c r="I104" i="3"/>
  <c r="J104" i="3"/>
  <c r="K104" i="3"/>
  <c r="L104" i="3"/>
  <c r="M104" i="3"/>
  <c r="M95" i="3"/>
  <c r="C95" i="3"/>
  <c r="D95" i="3"/>
  <c r="E95" i="3"/>
  <c r="F95" i="3"/>
  <c r="G95" i="3"/>
  <c r="H95" i="3"/>
  <c r="I95" i="3"/>
  <c r="J95" i="3"/>
  <c r="K95" i="3"/>
  <c r="L95" i="3"/>
  <c r="B95" i="3"/>
  <c r="D36" i="6" l="1"/>
  <c r="E36" i="6"/>
  <c r="K36" i="6"/>
  <c r="L36" i="6"/>
  <c r="M36" i="6"/>
  <c r="H36" i="6"/>
  <c r="C36" i="6"/>
  <c r="I36" i="6"/>
  <c r="J36" i="6"/>
  <c r="F36" i="6"/>
  <c r="G36" i="6"/>
  <c r="E16" i="9" l="1"/>
  <c r="L16" i="7"/>
  <c r="I16" i="10"/>
  <c r="N13" i="6"/>
  <c r="N20" i="6"/>
  <c r="N28" i="6"/>
  <c r="B17" i="8" l="1"/>
  <c r="B41" i="8" s="1"/>
  <c r="C17" i="8"/>
  <c r="C18" i="8" s="1"/>
  <c r="M16" i="7"/>
  <c r="M41" i="7" s="1"/>
  <c r="K17" i="8"/>
  <c r="J17" i="8"/>
  <c r="D17" i="8"/>
  <c r="M17" i="8"/>
  <c r="I17" i="8"/>
  <c r="L17" i="8"/>
  <c r="L18" i="8" s="1"/>
  <c r="G17" i="8"/>
  <c r="G18" i="8" s="1"/>
  <c r="E17" i="8"/>
  <c r="F17" i="8"/>
  <c r="F18" i="8" s="1"/>
  <c r="H17" i="8"/>
  <c r="G41" i="8"/>
  <c r="G42" i="8" s="1"/>
  <c r="E41" i="9"/>
  <c r="E42" i="9" s="1"/>
  <c r="E17" i="9"/>
  <c r="I41" i="10"/>
  <c r="I42" i="10" s="1"/>
  <c r="I17" i="10"/>
  <c r="L17" i="7"/>
  <c r="L41" i="7"/>
  <c r="F16" i="7"/>
  <c r="K16" i="10"/>
  <c r="J16" i="10"/>
  <c r="E16" i="10"/>
  <c r="H16" i="9"/>
  <c r="G16" i="9"/>
  <c r="F16" i="9"/>
  <c r="L16" i="10"/>
  <c r="G16" i="10"/>
  <c r="F16" i="10"/>
  <c r="D16" i="9"/>
  <c r="C16" i="9"/>
  <c r="M16" i="9"/>
  <c r="H16" i="10"/>
  <c r="C16" i="10"/>
  <c r="M16" i="10"/>
  <c r="B16" i="9"/>
  <c r="B41" i="9" s="1"/>
  <c r="N16" i="9"/>
  <c r="I16" i="9"/>
  <c r="D16" i="10"/>
  <c r="B16" i="10"/>
  <c r="B41" i="10" s="1"/>
  <c r="L16" i="9"/>
  <c r="K16" i="9"/>
  <c r="J16" i="9"/>
  <c r="G16" i="7"/>
  <c r="J16" i="7"/>
  <c r="K16" i="7"/>
  <c r="E16" i="7"/>
  <c r="H16" i="7"/>
  <c r="C16" i="7"/>
  <c r="B16" i="7"/>
  <c r="B41" i="7" s="1"/>
  <c r="I16" i="7"/>
  <c r="D16" i="7"/>
  <c r="M37" i="6"/>
  <c r="E37" i="6"/>
  <c r="L37" i="6"/>
  <c r="D37" i="6"/>
  <c r="K37" i="6"/>
  <c r="G37" i="6"/>
  <c r="J37" i="6"/>
  <c r="F37" i="6"/>
  <c r="I37" i="6"/>
  <c r="H37" i="6"/>
  <c r="C37" i="6"/>
  <c r="B22" i="3"/>
  <c r="B19" i="6" s="1"/>
  <c r="N17" i="6"/>
  <c r="D15" i="6"/>
  <c r="M42" i="7" l="1"/>
  <c r="L42" i="7"/>
  <c r="B42" i="10"/>
  <c r="B42" i="8"/>
  <c r="B42" i="7"/>
  <c r="B18" i="8"/>
  <c r="B42" i="9"/>
  <c r="M17" i="7"/>
  <c r="C41" i="8"/>
  <c r="C42" i="8" s="1"/>
  <c r="N17" i="8"/>
  <c r="J18" i="8"/>
  <c r="J41" i="8"/>
  <c r="J42" i="8" s="1"/>
  <c r="F41" i="8"/>
  <c r="F42" i="8" s="1"/>
  <c r="D18" i="8"/>
  <c r="D41" i="8"/>
  <c r="D42" i="8" s="1"/>
  <c r="H18" i="8"/>
  <c r="H41" i="8"/>
  <c r="H42" i="8" s="1"/>
  <c r="I18" i="8"/>
  <c r="I41" i="8"/>
  <c r="I42" i="8" s="1"/>
  <c r="K18" i="8"/>
  <c r="K41" i="8"/>
  <c r="K42" i="8" s="1"/>
  <c r="L41" i="8"/>
  <c r="L42" i="8" s="1"/>
  <c r="E18" i="8"/>
  <c r="E41" i="8"/>
  <c r="E42" i="8" s="1"/>
  <c r="M18" i="8"/>
  <c r="M41" i="8"/>
  <c r="M42" i="8" s="1"/>
  <c r="C19" i="6"/>
  <c r="G19" i="6"/>
  <c r="K19" i="6"/>
  <c r="H19" i="6"/>
  <c r="E19" i="6"/>
  <c r="I19" i="6"/>
  <c r="M19" i="6"/>
  <c r="F19" i="6"/>
  <c r="J19" i="6"/>
  <c r="D19" i="6"/>
  <c r="D22" i="6" s="1"/>
  <c r="L19" i="6"/>
  <c r="D17" i="7"/>
  <c r="D41" i="7"/>
  <c r="I17" i="7"/>
  <c r="I41" i="7"/>
  <c r="E17" i="7"/>
  <c r="E41" i="7"/>
  <c r="J41" i="9"/>
  <c r="J42" i="9" s="1"/>
  <c r="J17" i="9"/>
  <c r="D41" i="10"/>
  <c r="D42" i="10" s="1"/>
  <c r="D17" i="10"/>
  <c r="M41" i="10"/>
  <c r="M42" i="10" s="1"/>
  <c r="M17" i="10"/>
  <c r="C41" i="9"/>
  <c r="C42" i="9" s="1"/>
  <c r="C17" i="9"/>
  <c r="L41" i="10"/>
  <c r="L42" i="10" s="1"/>
  <c r="L17" i="10"/>
  <c r="E41" i="10"/>
  <c r="E42" i="10" s="1"/>
  <c r="E17" i="10"/>
  <c r="K17" i="7"/>
  <c r="K41" i="7"/>
  <c r="I41" i="9"/>
  <c r="I42" i="9" s="1"/>
  <c r="I17" i="9"/>
  <c r="D41" i="9"/>
  <c r="D42" i="9" s="1"/>
  <c r="D17" i="9"/>
  <c r="F41" i="9"/>
  <c r="F42" i="9" s="1"/>
  <c r="F17" i="9"/>
  <c r="J41" i="10"/>
  <c r="J42" i="10" s="1"/>
  <c r="J17" i="10"/>
  <c r="K41" i="9"/>
  <c r="K42" i="9" s="1"/>
  <c r="K17" i="9"/>
  <c r="C41" i="10"/>
  <c r="C42" i="10" s="1"/>
  <c r="C17" i="10"/>
  <c r="C17" i="7"/>
  <c r="C41" i="7"/>
  <c r="J17" i="7"/>
  <c r="J41" i="7"/>
  <c r="L41" i="9"/>
  <c r="L42" i="9" s="1"/>
  <c r="L17" i="9"/>
  <c r="H41" i="10"/>
  <c r="H42" i="10" s="1"/>
  <c r="H17" i="10"/>
  <c r="F41" i="10"/>
  <c r="F42" i="10" s="1"/>
  <c r="F17" i="10"/>
  <c r="G41" i="9"/>
  <c r="G42" i="9" s="1"/>
  <c r="G17" i="9"/>
  <c r="K41" i="10"/>
  <c r="K42" i="10" s="1"/>
  <c r="K17" i="10"/>
  <c r="H17" i="7"/>
  <c r="H41" i="7"/>
  <c r="G17" i="7"/>
  <c r="G41" i="7"/>
  <c r="M41" i="9"/>
  <c r="M42" i="9" s="1"/>
  <c r="M17" i="9"/>
  <c r="G41" i="10"/>
  <c r="G42" i="10" s="1"/>
  <c r="G17" i="10"/>
  <c r="H41" i="9"/>
  <c r="H42" i="9" s="1"/>
  <c r="H17" i="9"/>
  <c r="F17" i="7"/>
  <c r="F41" i="7"/>
  <c r="B17" i="9"/>
  <c r="B17" i="7"/>
  <c r="N16" i="7"/>
  <c r="N16" i="10"/>
  <c r="B17" i="10"/>
  <c r="F15" i="6"/>
  <c r="N18" i="6"/>
  <c r="N16" i="6"/>
  <c r="H53" i="2" l="1" a="1"/>
  <c r="J53" i="2" a="1"/>
  <c r="K53" i="2" a="1"/>
  <c r="I53" i="2" a="1"/>
  <c r="F53" i="2" a="1"/>
  <c r="C53" i="2" a="1"/>
  <c r="E53" i="2" a="1"/>
  <c r="D53" i="2" a="1"/>
  <c r="M53" i="2" a="1"/>
  <c r="L53" i="2" a="1"/>
  <c r="H42" i="7"/>
  <c r="K42" i="7"/>
  <c r="F42" i="7"/>
  <c r="C42" i="7"/>
  <c r="D42" i="7"/>
  <c r="J42" i="7"/>
  <c r="I42" i="7"/>
  <c r="G42" i="7"/>
  <c r="E42" i="7"/>
  <c r="N41" i="10"/>
  <c r="N42" i="10" s="1"/>
  <c r="N41" i="8"/>
  <c r="N42" i="8" s="1"/>
  <c r="N41" i="7"/>
  <c r="N42" i="7" s="1"/>
  <c r="N41" i="9"/>
  <c r="N42" i="9" s="1"/>
  <c r="N17" i="9"/>
  <c r="N17" i="10"/>
  <c r="N17" i="7"/>
  <c r="D41" i="6"/>
  <c r="N18" i="8"/>
  <c r="F22" i="6"/>
  <c r="I30" i="6"/>
  <c r="D23" i="6"/>
  <c r="N19" i="6"/>
  <c r="C15" i="6"/>
  <c r="C22" i="6" s="1"/>
  <c r="M15" i="6"/>
  <c r="M22" i="6" s="1"/>
  <c r="J15" i="6"/>
  <c r="J22" i="6" s="1"/>
  <c r="H15" i="6"/>
  <c r="H22" i="6" s="1"/>
  <c r="E15" i="6"/>
  <c r="E22" i="6" s="1"/>
  <c r="I15" i="6"/>
  <c r="I22" i="6" s="1"/>
  <c r="B15" i="6"/>
  <c r="B22" i="6" s="1"/>
  <c r="B41" i="6" s="1"/>
  <c r="B53" i="2" s="1"/>
  <c r="G15" i="6"/>
  <c r="G22" i="6" s="1"/>
  <c r="K15" i="6"/>
  <c r="K22" i="6" s="1"/>
  <c r="L15" i="6"/>
  <c r="L22" i="6" s="1"/>
  <c r="N12" i="6"/>
  <c r="D53" i="2" l="1"/>
  <c r="F41" i="6"/>
  <c r="F53" i="2" s="1"/>
  <c r="F23" i="6"/>
  <c r="E41" i="6"/>
  <c r="E53" i="2" s="1"/>
  <c r="G41" i="6"/>
  <c r="G53" i="2" s="1"/>
  <c r="J41" i="6"/>
  <c r="J53" i="2" s="1"/>
  <c r="I41" i="6"/>
  <c r="I53" i="2" s="1"/>
  <c r="M41" i="6"/>
  <c r="M53" i="2" s="1"/>
  <c r="L41" i="6"/>
  <c r="L53" i="2" s="1"/>
  <c r="C41" i="6"/>
  <c r="C53" i="2" s="1"/>
  <c r="K41" i="6"/>
  <c r="K53" i="2" s="1"/>
  <c r="H41" i="6"/>
  <c r="H53" i="2" s="1"/>
  <c r="G30" i="6"/>
  <c r="B30" i="6"/>
  <c r="L30" i="6"/>
  <c r="J30" i="6"/>
  <c r="K30" i="6"/>
  <c r="N29" i="6"/>
  <c r="H30" i="6"/>
  <c r="C30" i="6"/>
  <c r="D42" i="6"/>
  <c r="D30" i="6"/>
  <c r="E30" i="6"/>
  <c r="M30" i="6"/>
  <c r="F30" i="6"/>
  <c r="E23" i="6"/>
  <c r="H23" i="6"/>
  <c r="J23" i="6"/>
  <c r="K23" i="6"/>
  <c r="C23" i="6"/>
  <c r="G23" i="6"/>
  <c r="L23" i="6"/>
  <c r="I23" i="6"/>
  <c r="M23" i="6"/>
  <c r="N21" i="6"/>
  <c r="N15" i="6"/>
  <c r="D54" i="2" l="1"/>
  <c r="I54" i="2"/>
  <c r="C42" i="6"/>
  <c r="C54" i="2" s="1"/>
  <c r="J42" i="6"/>
  <c r="J54" i="2" s="1"/>
  <c r="L42" i="6"/>
  <c r="L54" i="2" s="1"/>
  <c r="F42" i="6"/>
  <c r="F54" i="2" s="1"/>
  <c r="G42" i="6"/>
  <c r="G54" i="2" s="1"/>
  <c r="E42" i="6"/>
  <c r="E54" i="2" s="1"/>
  <c r="I42" i="6"/>
  <c r="M42" i="6"/>
  <c r="M54" i="2" s="1"/>
  <c r="K42" i="6"/>
  <c r="K54" i="2" s="1"/>
  <c r="H42" i="6"/>
  <c r="N41" i="6"/>
  <c r="N30" i="6"/>
  <c r="N22" i="6"/>
  <c r="B23" i="6"/>
  <c r="N23" i="6" s="1"/>
  <c r="N35" i="6"/>
  <c r="H54" i="2" l="1"/>
  <c r="B37" i="6"/>
  <c r="N36" i="6"/>
  <c r="B42" i="6"/>
  <c r="B54" i="2" s="1"/>
  <c r="N54" i="2" l="1"/>
  <c r="N53" i="2"/>
  <c r="N42" i="6"/>
  <c r="N37" i="6"/>
</calcChain>
</file>

<file path=xl/comments1.xml><?xml version="1.0" encoding="utf-8"?>
<comments xmlns="http://schemas.openxmlformats.org/spreadsheetml/2006/main">
  <authors>
    <author>Alemi, Payman@Waterboards</author>
  </authors>
  <commentList>
    <comment ref="A15" authorId="0" shapeId="0">
      <text>
        <r>
          <rPr>
            <b/>
            <sz val="9"/>
            <color indexed="81"/>
            <rFont val="Tahoma"/>
            <family val="2"/>
          </rPr>
          <t>Alemi, Payman@Waterboards:</t>
        </r>
        <r>
          <rPr>
            <sz val="9"/>
            <color indexed="81"/>
            <rFont val="Tahoma"/>
            <family val="2"/>
          </rPr>
          <t xml:space="preserve">
If you have no garden, then type "0". </t>
        </r>
      </text>
    </comment>
  </commentList>
</comments>
</file>

<file path=xl/comments2.xml><?xml version="1.0" encoding="utf-8"?>
<comments xmlns="http://schemas.openxmlformats.org/spreadsheetml/2006/main">
  <authors>
    <author>Alemi, Payman@Waterboards</author>
  </authors>
  <commentList>
    <comment ref="B28" authorId="0" shapeId="0">
      <text>
        <r>
          <rPr>
            <b/>
            <sz val="9"/>
            <color indexed="81"/>
            <rFont val="Tahoma"/>
            <family val="2"/>
          </rPr>
          <t>Alemi, Payman@Waterboards:</t>
        </r>
        <r>
          <rPr>
            <sz val="9"/>
            <color indexed="81"/>
            <rFont val="Tahoma"/>
            <family val="2"/>
          </rPr>
          <t xml:space="preserve">
User input</t>
        </r>
      </text>
    </comment>
  </commentList>
</comments>
</file>

<file path=xl/sharedStrings.xml><?xml version="1.0" encoding="utf-8"?>
<sst xmlns="http://schemas.openxmlformats.org/spreadsheetml/2006/main" count="904" uniqueCount="309">
  <si>
    <t>Gallons</t>
  </si>
  <si>
    <t>Personal Use</t>
  </si>
  <si>
    <t>Full Plumbing</t>
  </si>
  <si>
    <t>Sink and Flush Toilet Only</t>
  </si>
  <si>
    <t>Sink and Shower Only</t>
  </si>
  <si>
    <t>Sink Only</t>
  </si>
  <si>
    <t>Outside Supply Only</t>
  </si>
  <si>
    <t>Cafeteria, dining facility</t>
  </si>
  <si>
    <t>Domestic Livestock</t>
  </si>
  <si>
    <t>Milch cows</t>
  </si>
  <si>
    <t>Horses</t>
  </si>
  <si>
    <t>Goats and hogs</t>
  </si>
  <si>
    <t>Rabbits, poultry, and other small animals</t>
  </si>
  <si>
    <t>Outside of Dwelling</t>
  </si>
  <si>
    <t>GPD</t>
  </si>
  <si>
    <t>Type of Stock</t>
  </si>
  <si>
    <t>GPD/head</t>
  </si>
  <si>
    <t>Range cattle and horses</t>
  </si>
  <si>
    <t>Sheep</t>
  </si>
  <si>
    <t>Hosing out dairy barn</t>
  </si>
  <si>
    <t>Irrigation Conditions</t>
  </si>
  <si>
    <t>CFS</t>
  </si>
  <si>
    <t>GPS</t>
  </si>
  <si>
    <t>Term</t>
  </si>
  <si>
    <t>Definition</t>
  </si>
  <si>
    <t>Cubic Feet/Second</t>
  </si>
  <si>
    <t>GPM</t>
  </si>
  <si>
    <t>Gallons/Minute</t>
  </si>
  <si>
    <t>Gallons/Second</t>
  </si>
  <si>
    <t>Gallons/Day</t>
  </si>
  <si>
    <t>AFD</t>
  </si>
  <si>
    <t>AFY</t>
  </si>
  <si>
    <t>Acre-Feet/Day</t>
  </si>
  <si>
    <t>Acre-Feet/Year</t>
  </si>
  <si>
    <t>Liters/Second</t>
  </si>
  <si>
    <t>L/S</t>
  </si>
  <si>
    <t>Cubic Meters/Day</t>
  </si>
  <si>
    <t>M3/S</t>
  </si>
  <si>
    <t>M3/M</t>
  </si>
  <si>
    <t>M3/Y</t>
  </si>
  <si>
    <t>Cubic Meters/Second</t>
  </si>
  <si>
    <t>Cubic Meters/Minute</t>
  </si>
  <si>
    <t>Cubic Meters/Year</t>
  </si>
  <si>
    <t>M3/D</t>
  </si>
  <si>
    <t>Unit 1</t>
  </si>
  <si>
    <t>Unit 2</t>
  </si>
  <si>
    <t>AF</t>
  </si>
  <si>
    <t>CF</t>
  </si>
  <si>
    <t>Value 2</t>
  </si>
  <si>
    <t>Information Obtained From Water User</t>
  </si>
  <si>
    <t>Domestic Use Info</t>
  </si>
  <si>
    <t>#Persons</t>
  </si>
  <si>
    <t>Hydrologic Region</t>
  </si>
  <si>
    <t>See Hydrologic Region Data</t>
  </si>
  <si>
    <t>Colorado River</t>
  </si>
  <si>
    <t>North Coast</t>
  </si>
  <si>
    <t>North Lahontan</t>
  </si>
  <si>
    <t>Sacramento River</t>
  </si>
  <si>
    <t>San Francisco Bay</t>
  </si>
  <si>
    <t>San Joaquin River</t>
  </si>
  <si>
    <t>South Coast</t>
  </si>
  <si>
    <t>South Lahontan</t>
  </si>
  <si>
    <t>Tulare Lake</t>
  </si>
  <si>
    <t>Jan-15</t>
  </si>
  <si>
    <t>Feb-15</t>
  </si>
  <si>
    <t>Mar-15</t>
  </si>
  <si>
    <t>Apr-15</t>
  </si>
  <si>
    <t>May-15</t>
  </si>
  <si>
    <t>Jun-15</t>
  </si>
  <si>
    <t>Jul-15</t>
  </si>
  <si>
    <t>Aug-15</t>
  </si>
  <si>
    <t>Sep-15</t>
  </si>
  <si>
    <t>Oct-15</t>
  </si>
  <si>
    <t>Nov-15</t>
  </si>
  <si>
    <t>Dec-15</t>
  </si>
  <si>
    <t>Central Coast</t>
  </si>
  <si>
    <t>Irrigation Use Info</t>
  </si>
  <si>
    <t>Annual Total</t>
  </si>
  <si>
    <t>Plumbing Type</t>
  </si>
  <si>
    <t>Acreage</t>
  </si>
  <si>
    <t>Domestic Stock Type</t>
  </si>
  <si>
    <t>#Stock</t>
  </si>
  <si>
    <t># of Livestock</t>
  </si>
  <si>
    <t>Type of Livestock</t>
  </si>
  <si>
    <t>Month</t>
  </si>
  <si>
    <t>Days Irrigated</t>
  </si>
  <si>
    <t>Days Stockwatering</t>
  </si>
  <si>
    <t>Stockwatering Info</t>
  </si>
  <si>
    <t>Days of Use</t>
  </si>
  <si>
    <t>Days with stockwatering</t>
  </si>
  <si>
    <t>Type</t>
  </si>
  <si>
    <t>DOMESTIC CALCS</t>
  </si>
  <si>
    <t>IRRIGATION CALCS</t>
  </si>
  <si>
    <t>STOCKWATERING CALCS</t>
  </si>
  <si>
    <t xml:space="preserve">Days Irrigated </t>
  </si>
  <si>
    <r>
      <t xml:space="preserve">Irrigation, Volume </t>
    </r>
    <r>
      <rPr>
        <i/>
        <sz val="11"/>
        <color theme="1"/>
        <rFont val="Calibri"/>
        <family val="2"/>
        <scheme val="minor"/>
      </rPr>
      <t>(AF)</t>
    </r>
  </si>
  <si>
    <r>
      <t xml:space="preserve">Rate </t>
    </r>
    <r>
      <rPr>
        <i/>
        <sz val="11"/>
        <color theme="1"/>
        <rFont val="Calibri"/>
        <family val="2"/>
        <scheme val="minor"/>
      </rPr>
      <t>(GPD)</t>
    </r>
  </si>
  <si>
    <t>AFD By Hydrologic Region</t>
  </si>
  <si>
    <r>
      <t xml:space="preserve">Stockwatering Rate </t>
    </r>
    <r>
      <rPr>
        <b/>
        <i/>
        <sz val="11"/>
        <color theme="1"/>
        <rFont val="Calibri"/>
        <family val="2"/>
        <scheme val="minor"/>
      </rPr>
      <t>(GPD)</t>
    </r>
  </si>
  <si>
    <t>Total Water Volume Diverted Month by Month</t>
  </si>
  <si>
    <r>
      <t xml:space="preserve">Water Volume </t>
    </r>
    <r>
      <rPr>
        <i/>
        <sz val="11"/>
        <color theme="1"/>
        <rFont val="Calibri"/>
        <family val="2"/>
        <scheme val="minor"/>
      </rPr>
      <t>(AF)</t>
    </r>
  </si>
  <si>
    <r>
      <t xml:space="preserve">Water Volume </t>
    </r>
    <r>
      <rPr>
        <i/>
        <sz val="11"/>
        <color theme="1"/>
        <rFont val="Calibri"/>
        <family val="2"/>
        <scheme val="minor"/>
      </rPr>
      <t>(Gallons)</t>
    </r>
  </si>
  <si>
    <r>
      <t>Domestic Use Index</t>
    </r>
    <r>
      <rPr>
        <b/>
        <vertAlign val="superscript"/>
        <sz val="14"/>
        <color rgb="FF0070C0"/>
        <rFont val="Calibri"/>
        <family val="2"/>
        <scheme val="minor"/>
      </rPr>
      <t>1</t>
    </r>
  </si>
  <si>
    <t xml:space="preserve">References </t>
  </si>
  <si>
    <r>
      <t>Irrigation Index</t>
    </r>
    <r>
      <rPr>
        <b/>
        <vertAlign val="superscript"/>
        <sz val="14"/>
        <color rgb="FF0070C0"/>
        <rFont val="Calibri"/>
        <family val="2"/>
        <scheme val="minor"/>
      </rPr>
      <t>3</t>
    </r>
  </si>
  <si>
    <r>
      <t>RGPCD By Hydrologic Region</t>
    </r>
    <r>
      <rPr>
        <b/>
        <vertAlign val="superscript"/>
        <sz val="14"/>
        <color theme="1"/>
        <rFont val="Calibri"/>
        <family val="2"/>
        <scheme val="minor"/>
      </rPr>
      <t>4</t>
    </r>
  </si>
  <si>
    <t>1) http://www.waterboards.ca.gov/waterrights/publications_forms/forms/docs/app_instruction_booklet.pdf, Page 34</t>
  </si>
  <si>
    <r>
      <t xml:space="preserve">Total, Domestic </t>
    </r>
    <r>
      <rPr>
        <b/>
        <i/>
        <sz val="12"/>
        <color theme="1"/>
        <rFont val="Calibri"/>
        <family val="2"/>
        <scheme val="minor"/>
      </rPr>
      <t>(AF)</t>
    </r>
  </si>
  <si>
    <r>
      <t xml:space="preserve">Total, Domestic </t>
    </r>
    <r>
      <rPr>
        <b/>
        <i/>
        <sz val="12"/>
        <color theme="1"/>
        <rFont val="Calibri"/>
        <family val="2"/>
        <scheme val="minor"/>
      </rPr>
      <t>(Gallons)</t>
    </r>
  </si>
  <si>
    <r>
      <t xml:space="preserve">Residential Volume </t>
    </r>
    <r>
      <rPr>
        <i/>
        <sz val="11"/>
        <color theme="1"/>
        <rFont val="Calibri"/>
        <family val="2"/>
        <scheme val="minor"/>
      </rPr>
      <t>(AF)</t>
    </r>
  </si>
  <si>
    <r>
      <t xml:space="preserve">Livestock, Domestic Volume </t>
    </r>
    <r>
      <rPr>
        <i/>
        <sz val="11"/>
        <color theme="1"/>
        <rFont val="Calibri"/>
        <family val="2"/>
        <scheme val="minor"/>
      </rPr>
      <t>(AF)</t>
    </r>
  </si>
  <si>
    <t>Values in orange cells below are also obtained from the water user</t>
  </si>
  <si>
    <t>Domestic Use</t>
  </si>
  <si>
    <t>Days of Residential Use</t>
  </si>
  <si>
    <t>Days Irrigating lawn/garden</t>
  </si>
  <si>
    <t>USER INPUTS</t>
  </si>
  <si>
    <t>Total</t>
  </si>
  <si>
    <t>Diversion Type</t>
  </si>
  <si>
    <t>Irrigation Use (Crops)</t>
  </si>
  <si>
    <t>None</t>
  </si>
  <si>
    <t>No Domestic Stock</t>
  </si>
  <si>
    <t>Campgrounds with faucets only</t>
  </si>
  <si>
    <t>Campgrounds with washbowls, showers, flush toilets, and laundry trays</t>
  </si>
  <si>
    <r>
      <t>Conversions</t>
    </r>
    <r>
      <rPr>
        <b/>
        <vertAlign val="superscript"/>
        <sz val="12"/>
        <color rgb="FF0070C0"/>
        <rFont val="Calibri"/>
        <family val="2"/>
        <scheme val="minor"/>
      </rPr>
      <t>1</t>
    </r>
  </si>
  <si>
    <t>Stockwatering</t>
  </si>
  <si>
    <t>Livestock Type 1</t>
  </si>
  <si>
    <t># of Type 1</t>
  </si>
  <si>
    <t>Livestock Type 2</t>
  </si>
  <si>
    <t>Livestock Type 3</t>
  </si>
  <si>
    <t>Livestock Type 4</t>
  </si>
  <si>
    <t># of Type 2</t>
  </si>
  <si>
    <t># of Type 3</t>
  </si>
  <si>
    <t># of Type 4</t>
  </si>
  <si>
    <t>Crop Type 1</t>
  </si>
  <si>
    <t>Acreage 1</t>
  </si>
  <si>
    <t>Crop Type 2</t>
  </si>
  <si>
    <t>Domestic Stock Type 1</t>
  </si>
  <si>
    <t>Domestic Stock Type 2</t>
  </si>
  <si>
    <t>Domestic Stock 3</t>
  </si>
  <si>
    <t>Domestic Type 4</t>
  </si>
  <si>
    <t>Acreage 2</t>
  </si>
  <si>
    <t>Crop Type 3</t>
  </si>
  <si>
    <t>Acreage 3</t>
  </si>
  <si>
    <t>Crop Type 4</t>
  </si>
  <si>
    <t>Acreage 4</t>
  </si>
  <si>
    <t>Crop Type 5</t>
  </si>
  <si>
    <t>Acreage 5</t>
  </si>
  <si>
    <r>
      <t xml:space="preserve">Lawn/Garden Area </t>
    </r>
    <r>
      <rPr>
        <b/>
        <i/>
        <sz val="10"/>
        <color theme="1"/>
        <rFont val="Calibri"/>
        <family val="2"/>
        <scheme val="minor"/>
      </rPr>
      <t>(square ft)</t>
    </r>
  </si>
  <si>
    <t>Crop 1, Days Irrigated</t>
  </si>
  <si>
    <t>Crop 2, Days Irrigated</t>
  </si>
  <si>
    <t>Crop 3, Days Irrigated</t>
  </si>
  <si>
    <t>Crop 4, Days Irrigated</t>
  </si>
  <si>
    <t>Crop 5, Days Irrigated</t>
  </si>
  <si>
    <t>Livestock Type 1, Days Stockwatered</t>
  </si>
  <si>
    <t>Livestock Type 2, Days Stockwatered</t>
  </si>
  <si>
    <t>Livestock Type 3, Days Stockwatered</t>
  </si>
  <si>
    <t>Livestock Type 4, Days Stockwatered</t>
  </si>
  <si>
    <t>Livestock Type 5</t>
  </si>
  <si>
    <t># of Type 5</t>
  </si>
  <si>
    <t>Livestock Type 5, Days Stockwatered</t>
  </si>
  <si>
    <t>Domestic Stock 5</t>
  </si>
  <si>
    <t>Domestic Stock Type 1, Days Stockwatered</t>
  </si>
  <si>
    <t>Domestic Stock Type 2, Days Stockwatered</t>
  </si>
  <si>
    <t>Domestic Stock Type 3, Days Stockwatered</t>
  </si>
  <si>
    <t>Domestic Stock Type 5, Days Stockwatered</t>
  </si>
  <si>
    <t>Domestic Stock Type 4, Days Stockwatered</t>
  </si>
  <si>
    <t>Lawn/Garden Area (square ft)</t>
  </si>
  <si>
    <t>The information gathered and estimated in this workbook was collected by the State Water Resources Control Board, Division of Water Rights, for uses beneficial to the State.  The information is available upon request to interested members of the public.  While the Division believes the information to be reliable and made efforts to assure its reliability at the time the information was compiled, the information is provided "as is". The Division is not responsible for the accuracy, completeness, quality, or legal sufficiency of the information.  Any express or implied warranties, including, but not limited to, the implied warranties of merchantability and fitness for purpose ARE SPECIFICALLY DISCLAIMED.  Neither the Division nor the State of California shall be held liable for any direct, indirect, incidental, special, exemplary, or consequential damages (including, but not limited to:  procurement or substitute goods or services; loss of use, data or profits; or business interruption), however caused and on any theory of liability, whether in contract, strict liability or tort, arising in any way out of the use of this information.  This disclaimer applies to use of the information alone and to its aggregate use with other information, data, or programs.</t>
  </si>
  <si>
    <t>Crop Acronym</t>
  </si>
  <si>
    <t>Grain</t>
  </si>
  <si>
    <t>Wheat, barley, oats, miscellaneous grain and hay, and mixed grain and hay</t>
  </si>
  <si>
    <t>Rice</t>
  </si>
  <si>
    <t>Rice and wild rice</t>
  </si>
  <si>
    <t>Cotton</t>
  </si>
  <si>
    <t>Sugar beets</t>
  </si>
  <si>
    <t>Corn</t>
  </si>
  <si>
    <t>Corn (field and sweet)</t>
  </si>
  <si>
    <t>DryBean</t>
  </si>
  <si>
    <t>Beans (dry)</t>
  </si>
  <si>
    <t>Safflower</t>
  </si>
  <si>
    <t>Oth Fld</t>
  </si>
  <si>
    <t>Flax, hops, grain sorghum, sudan, castor beans, miscellaneous fields, sunflowers, hybrid sorghum / sudan, millet and sugar cane</t>
  </si>
  <si>
    <t>Alfalfa</t>
  </si>
  <si>
    <t>Alfalfa and alfalfa mixtures</t>
  </si>
  <si>
    <t>Pasture</t>
  </si>
  <si>
    <t>Clover, mixed pasture, native pastures, induced high water table native pasture, miscellaneous grasses, turf farms, bermuda grass, rye grass and klein grass</t>
  </si>
  <si>
    <t>Tomatoes for processing</t>
  </si>
  <si>
    <t>Tomatoes for market</t>
  </si>
  <si>
    <t>Melons, squash and cucumbers</t>
  </si>
  <si>
    <t>Onions and garlic</t>
  </si>
  <si>
    <t>Potatoes</t>
  </si>
  <si>
    <t xml:space="preserve">Oth Trk </t>
  </si>
  <si>
    <t>Artichokes, asparagus, beans (green), carrots, celery, lettuce, peas, spinach, flowers nursery and tree farms, bush berries, strawberries, peppers, broccoli, cabbage, cauliflower and brussel sprouts</t>
  </si>
  <si>
    <t>Almonds and pistachios</t>
  </si>
  <si>
    <t>Oth Dec</t>
  </si>
  <si>
    <t>Apples, apricots, cherries, peaches, nectarines, pears, plums, prunes, figs, walnuts and miscellaneous deciduous</t>
  </si>
  <si>
    <t>Grapefruit, lemons, oranges, dates, avocados, olives, kiwis, jojoba, eucalyptus and miscellaneous subtropical fruit</t>
  </si>
  <si>
    <t>Vine</t>
  </si>
  <si>
    <t>Table grapes, wine grapes and raisin grapes</t>
  </si>
  <si>
    <t>Tomatoes, Processed</t>
  </si>
  <si>
    <t>Tomatoes, Fresh</t>
  </si>
  <si>
    <t>Melons, squash, and cucumbers</t>
  </si>
  <si>
    <t>Subtropical fruit</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</si>
  <si>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</si>
  <si>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</si>
  <si>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</si>
  <si>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</si>
  <si>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</si>
  <si>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</si>
  <si>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</si>
  <si>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</si>
  <si>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</si>
  <si>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</si>
  <si>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</si>
  <si>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</si>
  <si>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</si>
  <si>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</si>
  <si>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</si>
  <si>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</si>
  <si>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</si>
  <si>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</si>
  <si>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</si>
  <si>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</si>
  <si>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</si>
  <si>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</si>
  <si>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</si>
  <si>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</si>
  <si>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</si>
  <si>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</si>
  <si>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</si>
  <si>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</si>
  <si>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</si>
  <si>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</si>
  <si>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</si>
  <si>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</si>
  <si>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</si>
  <si>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</si>
  <si>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</si>
  <si>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</si>
  <si>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</si>
  <si>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</si>
  <si>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</si>
  <si>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</si>
  <si>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</si>
  <si>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</si>
  <si>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</si>
  <si>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</si>
  <si>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</si>
  <si>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</si>
  <si>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</si>
  <si>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</si>
  <si>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</si>
  <si>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</si>
  <si>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</si>
  <si>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</si>
  <si>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</si>
  <si>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</si>
  <si>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</si>
  <si>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</si>
  <si>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</si>
  <si>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r>
      <t>Lawn/Garden Area</t>
    </r>
    <r>
      <rPr>
        <i/>
        <sz val="10"/>
        <color theme="1"/>
        <rFont val="Calibri"/>
        <family val="2"/>
        <scheme val="minor"/>
      </rPr>
      <t xml:space="preserve"> (square ft)</t>
    </r>
  </si>
  <si>
    <r>
      <t xml:space="preserve">Irrigation, Domestic </t>
    </r>
    <r>
      <rPr>
        <b/>
        <i/>
        <sz val="11"/>
        <color theme="1"/>
        <rFont val="Calibri"/>
        <family val="2"/>
        <scheme val="minor"/>
      </rPr>
      <t>(GPD)</t>
    </r>
  </si>
  <si>
    <t>County</t>
  </si>
  <si>
    <t>Rate (AF/Acre)</t>
  </si>
  <si>
    <t>Total, Irrigated (AF)</t>
  </si>
  <si>
    <r>
      <t xml:space="preserve">Total, Stockwatering </t>
    </r>
    <r>
      <rPr>
        <b/>
        <i/>
        <sz val="12"/>
        <color theme="1"/>
        <rFont val="Calibri"/>
        <family val="2"/>
        <scheme val="minor"/>
      </rPr>
      <t>(AF)</t>
    </r>
  </si>
  <si>
    <t>Total, Irrigated (Gallons)</t>
  </si>
  <si>
    <t>Total, Stockwatering (AF)</t>
  </si>
  <si>
    <r>
      <t xml:space="preserve">Total, Stockwatering </t>
    </r>
    <r>
      <rPr>
        <b/>
        <i/>
        <sz val="12"/>
        <color theme="1"/>
        <rFont val="Calibri"/>
        <family val="2"/>
        <scheme val="minor"/>
      </rPr>
      <t>(Gallons)</t>
    </r>
  </si>
  <si>
    <t>Total, Stockwatering (Gallons)</t>
  </si>
  <si>
    <r>
      <t xml:space="preserve">Total, Irrigated </t>
    </r>
    <r>
      <rPr>
        <b/>
        <i/>
        <sz val="12"/>
        <color theme="1"/>
        <rFont val="Calibri"/>
        <family val="2"/>
        <scheme val="minor"/>
      </rPr>
      <t>(AF)</t>
    </r>
  </si>
  <si>
    <r>
      <t xml:space="preserve">Total, Irrigated </t>
    </r>
    <r>
      <rPr>
        <b/>
        <i/>
        <sz val="12"/>
        <color theme="1"/>
        <rFont val="Calibri"/>
        <family val="2"/>
        <scheme val="minor"/>
      </rPr>
      <t>(Gallons)</t>
    </r>
  </si>
  <si>
    <t>INSTRUCTIONS</t>
  </si>
  <si>
    <t>3) http://www.water.ca.gov/landwateruse/anlwuest.cfm</t>
  </si>
  <si>
    <t>Page 32</t>
  </si>
  <si>
    <t>Page 31</t>
  </si>
  <si>
    <t>Page 3</t>
  </si>
  <si>
    <t xml:space="preserve">1) http://www.waterboards.ca.gov/waterrights/publications_forms/forms/docs/app_instruction_booklet.pdf </t>
  </si>
  <si>
    <t>2) http://www.waterboards.ca.gov/waterrights/publications_forms/forms/docs/app_instruction_booklet.pdf</t>
  </si>
  <si>
    <t>4) http://www.waterboards.ca.gov/water_issues/programs/conservation_portal/docs/2016feb/fs2216_dec_numbers.pdf</t>
  </si>
  <si>
    <t xml:space="preserve"> 2010 County Spreadsheet (Ag_County_2010.xlsx)</t>
  </si>
  <si>
    <r>
      <t>Commercial Stockwatering Index</t>
    </r>
    <r>
      <rPr>
        <b/>
        <vertAlign val="superscript"/>
        <sz val="14"/>
        <color rgb="FF0070C0"/>
        <rFont val="Calibri"/>
        <family val="2"/>
        <scheme val="minor"/>
      </rPr>
      <t>2</t>
    </r>
  </si>
  <si>
    <t>TOTALS</t>
  </si>
  <si>
    <t>Residential Rate (Acre-Ft/D)</t>
  </si>
  <si>
    <t>All units in AF/Acre/Day</t>
  </si>
  <si>
    <t>Irrigation Index</t>
  </si>
  <si>
    <t>All units in AF/Acre/Year</t>
  </si>
  <si>
    <t>No Crops</t>
  </si>
  <si>
    <t>Average</t>
  </si>
  <si>
    <t>GPD/person</t>
  </si>
  <si>
    <t xml:space="preserve"> When asked for a number, enter digits, not text. If the answer is "none", then type 0.</t>
  </si>
  <si>
    <t xml:space="preserve"> When asked for a type of use (plumbing type, crop type, etc.), only select values from the drop-down menus.</t>
  </si>
  <si>
    <r>
      <t xml:space="preserve">The quantity of water diverted for each purpose of use (domestic use, irrigation, or stockwatering) will be provided in acre-ft or gallons for each month in the </t>
    </r>
    <r>
      <rPr>
        <i/>
        <sz val="11"/>
        <color theme="1"/>
        <rFont val="Calibri"/>
        <family val="2"/>
        <scheme val="minor"/>
      </rPr>
      <t>Outputs Section.</t>
    </r>
  </si>
  <si>
    <t>AFD/person</t>
  </si>
  <si>
    <r>
      <t>M</t>
    </r>
    <r>
      <rPr>
        <vertAlign val="superscript"/>
        <sz val="11"/>
        <color theme="1"/>
        <rFont val="Calibri"/>
        <family val="2"/>
        <scheme val="minor"/>
      </rPr>
      <t>3</t>
    </r>
  </si>
  <si>
    <t>Jan</t>
  </si>
  <si>
    <t>Feb</t>
  </si>
  <si>
    <t>Mar</t>
  </si>
  <si>
    <t>Apr</t>
  </si>
  <si>
    <t>May</t>
  </si>
  <si>
    <t>Jun</t>
  </si>
  <si>
    <t>Jul</t>
  </si>
  <si>
    <t>Aug</t>
  </si>
  <si>
    <t>Sep</t>
  </si>
  <si>
    <t>Oct</t>
  </si>
  <si>
    <t>Nov</t>
  </si>
  <si>
    <t>Dec</t>
  </si>
  <si>
    <r>
      <t xml:space="preserve"> Only enter data on the </t>
    </r>
    <r>
      <rPr>
        <b/>
        <sz val="11"/>
        <color theme="1"/>
        <rFont val="Calibri"/>
        <family val="2"/>
        <scheme val="minor"/>
      </rPr>
      <t xml:space="preserve">Entry Sheet </t>
    </r>
    <r>
      <rPr>
        <sz val="11"/>
        <color theme="1"/>
        <rFont val="Calibri"/>
        <family val="2"/>
        <scheme val="minor"/>
      </rPr>
      <t xml:space="preserve">in the </t>
    </r>
    <r>
      <rPr>
        <b/>
        <sz val="11"/>
        <color rgb="FFFFC000"/>
        <rFont val="Calibri"/>
        <family val="2"/>
        <scheme val="minor"/>
      </rPr>
      <t>orange cells.</t>
    </r>
  </si>
  <si>
    <r>
      <t>To find out your hydrologic region, look up your location on the</t>
    </r>
    <r>
      <rPr>
        <b/>
        <sz val="11"/>
        <color theme="1"/>
        <rFont val="Calibri"/>
        <family val="2"/>
        <scheme val="minor"/>
      </rPr>
      <t xml:space="preserve"> Hydrologic Regions Map</t>
    </r>
    <r>
      <rPr>
        <sz val="11"/>
        <color theme="1"/>
        <rFont val="Calibri"/>
        <family val="2"/>
        <scheme val="minor"/>
      </rPr>
      <t xml:space="preserve"> 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</si>
</sst>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_(* #,##0_);_(* \(#,##0\);_(* &quot;-&quot;??_);_(@_)"/>
    <numFmt numFmtId="166" formatCode="[$-F400]h:mm:ss\ AM/PM"/>
    <numFmt numFmtId="167" formatCode="0.00000"/>
    <numFmt numFmtId="168" formatCode="0.0000"/>
    <numFmt numFmtId="169" formatCode="0.000000"/>
    <numFmt numFmtId="170" formatCode="0.0000000"/>
  </numFmts>
  <fonts count="44"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12"/>
      <color theme="1"/>
      <name val="Calibri"/>
      <family val="2"/>
      <scheme val="minor"/>
    </font>
    <font>
      <i/>
      <sz val="11"/>
      <color theme="1"/>
      <name val="Calibri"/>
      <family val="2"/>
      <scheme val="minor"/>
    </font>
    <font>
      <b/>
      <sz val="14"/>
      <color rgb="FF0070C0"/>
      <name val="Calibri"/>
      <family val="2"/>
      <scheme val="minor"/>
    </font>
    <font>
      <b/>
      <sz val="12"/>
      <color rgb="FF0070C0"/>
      <name val="Calibri"/>
      <family val="2"/>
      <scheme val="minor"/>
    </font>
    <font>
      <b/>
      <i/>
      <sz val="11"/>
      <color theme="1"/>
      <name val="Calibri"/>
      <family val="2"/>
      <scheme val="minor"/>
    </font>
    <font>
      <b/>
      <sz val="12"/>
      <color theme="0"/>
      <name val="Calibri"/>
      <family val="2"/>
      <scheme val="minor"/>
    </font>
    <font>
      <b/>
      <i/>
      <sz val="11"/>
      <color theme="0"/>
      <name val="Calibri"/>
      <family val="2"/>
      <scheme val="minor"/>
    </font>
    <font>
      <b/>
      <sz val="14"/>
      <color rgb="FFFF0000"/>
      <name val="Calibri"/>
      <family val="2"/>
      <scheme val="minor"/>
    </font>
    <font>
      <b/>
      <sz val="14"/>
      <color rgb="FF92D050"/>
      <name val="Calibri"/>
      <family val="2"/>
      <scheme val="minor"/>
    </font>
    <font>
      <b/>
      <sz val="16"/>
      <color theme="1"/>
      <name val="Calibri"/>
      <family val="2"/>
      <scheme val="minor"/>
    </font>
    <font>
      <b/>
      <sz val="10"/>
      <color theme="1"/>
      <name val="Calibri"/>
      <family val="2"/>
      <scheme val="minor"/>
    </font>
    <font>
      <b/>
      <sz val="10"/>
      <name val="Calibri"/>
      <family val="2"/>
      <scheme val="minor"/>
    </font>
    <font>
      <b/>
      <i/>
      <sz val="10"/>
      <color theme="1"/>
      <name val="Calibri"/>
      <family val="2"/>
      <scheme val="minor"/>
    </font>
    <font>
      <sz val="9"/>
      <color indexed="81"/>
      <name val="Tahoma"/>
      <family val="2"/>
    </font>
    <font>
      <b/>
      <sz val="9"/>
      <color indexed="81"/>
      <name val="Tahoma"/>
      <family val="2"/>
    </font>
    <font>
      <b/>
      <sz val="14"/>
      <color rgb="FF00B0F0"/>
      <name val="Calibri"/>
      <family val="2"/>
      <scheme val="minor"/>
    </font>
    <font>
      <b/>
      <vertAlign val="superscript"/>
      <sz val="14"/>
      <color rgb="FF0070C0"/>
      <name val="Calibri"/>
      <family val="2"/>
      <scheme val="minor"/>
    </font>
    <font>
      <b/>
      <sz val="14"/>
      <color theme="1"/>
      <name val="Calibri"/>
      <family val="2"/>
      <scheme val="minor"/>
    </font>
    <font>
      <b/>
      <vertAlign val="superscript"/>
      <sz val="14"/>
      <color theme="1"/>
      <name val="Calibri"/>
      <family val="2"/>
      <scheme val="minor"/>
    </font>
    <font>
      <b/>
      <sz val="16"/>
      <color rgb="FF00B050"/>
      <name val="Calibri"/>
      <family val="2"/>
      <scheme val="minor"/>
    </font>
    <font>
      <b/>
      <vertAlign val="superscript"/>
      <sz val="12"/>
      <color rgb="FF0070C0"/>
      <name val="Calibri"/>
      <family val="2"/>
      <scheme val="minor"/>
    </font>
    <font>
      <b/>
      <i/>
      <sz val="12"/>
      <color theme="1"/>
      <name val="Calibri"/>
      <family val="2"/>
      <scheme val="minor"/>
    </font>
    <font>
      <sz val="11"/>
      <color rgb="FF3F3F76"/>
      <name val="Calibri"/>
      <family val="2"/>
      <scheme val="minor"/>
    </font>
    <font>
      <b/>
      <sz val="11"/>
      <color rgb="FF92D050"/>
      <name val="Calibri"/>
      <family val="2"/>
      <scheme val="minor"/>
    </font>
    <font>
      <b/>
      <sz val="11"/>
      <color rgb="FFFF0000"/>
      <name val="Calibri"/>
      <family val="2"/>
      <scheme val="minor"/>
    </font>
    <font>
      <sz val="12"/>
      <color theme="1"/>
      <name val="Calibri"/>
      <family val="2"/>
      <scheme val="minor"/>
    </font>
    <font>
      <b/>
      <sz val="11"/>
      <color rgb="FF00B0F0"/>
      <name val="Calibri"/>
      <family val="2"/>
      <scheme val="minor"/>
    </font>
    <font>
      <b/>
      <sz val="10"/>
      <color theme="1"/>
      <name val="Calibri"/>
      <family val="2"/>
      <scheme val="minor"/>
    </font>
    <font>
      <sz val="10"/>
      <name val="Arial"/>
      <family val="2"/>
    </font>
    <font>
      <sz val="12"/>
      <name val="Arial"/>
      <family val="2"/>
    </font>
    <font>
      <sz val="10"/>
      <color indexed="8"/>
      <name val="Arial"/>
      <family val="2"/>
    </font>
    <font>
      <sz val="11"/>
      <color indexed="8"/>
      <name val="Calibri"/>
      <family val="2"/>
    </font>
    <font>
      <i/>
      <sz val="10"/>
      <color theme="1"/>
      <name val="Calibri"/>
      <family val="2"/>
      <scheme val="minor"/>
    </font>
    <font>
      <u/>
      <sz val="11"/>
      <color theme="10"/>
      <name val="Calibri"/>
      <family val="2"/>
      <scheme val="minor"/>
    </font>
    <font>
      <b/>
      <sz val="14"/>
      <color theme="0"/>
      <name val="Calibri"/>
      <family val="2"/>
      <scheme val="minor"/>
    </font>
    <font>
      <b/>
      <sz val="11"/>
      <color theme="1"/>
      <name val="Calibri"/>
      <family val="2"/>
    </font>
    <font>
      <b/>
      <sz val="11"/>
      <color theme="0"/>
      <name val="Calibri"/>
      <family val="2"/>
    </font>
    <font>
      <b/>
      <sz val="11"/>
      <color indexed="8"/>
      <name val="Calibri"/>
      <family val="2"/>
    </font>
    <font>
      <b/>
      <sz val="11"/>
      <color rgb="FFFFC000"/>
      <name val="Calibri"/>
      <family val="2"/>
      <scheme val="minor"/>
    </font>
    <font>
      <vertAlign val="superscript"/>
      <sz val="11"/>
      <color theme="1"/>
      <name val="Calibri"/>
      <family val="2"/>
      <scheme val="minor"/>
    </font>
  </fonts>
  <fills count="23">
    <fill>
      <patternFill patternType="none"/>
    </fill>
    <fill>
      <patternFill patternType="gray125"/>
    </fill>
    <fill>
      <patternFill patternType="solid">
        <fgColor theme="4"/>
        <bgColor theme="4"/>
      </patternFill>
    </fill>
    <fill>
      <patternFill patternType="solid">
        <fgColor theme="1"/>
        <bgColor theme="1"/>
      </patternFill>
    </fill>
    <fill>
      <patternFill patternType="solid">
        <fgColor theme="0" tint="-0.14999847407452621"/>
        <bgColor theme="0" tint="-0.14999847407452621"/>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rgb="FFFFCC99"/>
      </patternFill>
    </fill>
    <fill>
      <patternFill patternType="solid">
        <fgColor theme="4" tint="0.79998168889431442"/>
        <bgColor theme="4" tint="0.79998168889431442"/>
      </patternFill>
    </fill>
    <fill>
      <patternFill patternType="solid">
        <fgColor theme="6"/>
        <bgColor theme="6"/>
      </patternFill>
    </fill>
    <fill>
      <patternFill patternType="solid">
        <fgColor theme="6" tint="0.79998168889431442"/>
        <bgColor theme="6" tint="0.79998168889431442"/>
      </patternFill>
    </fill>
    <fill>
      <patternFill patternType="solid">
        <fgColor theme="5"/>
        <bgColor theme="5"/>
      </patternFill>
    </fill>
    <fill>
      <patternFill patternType="solid">
        <fgColor theme="5" tint="0.79998168889431442"/>
        <bgColor theme="5" tint="0.79998168889431442"/>
      </patternFill>
    </fill>
    <fill>
      <patternFill patternType="solid">
        <fgColor theme="4" tint="0.59999389629810485"/>
        <bgColor theme="4" tint="0.59999389629810485"/>
      </patternFill>
    </fill>
    <fill>
      <patternFill patternType="solid">
        <fgColor theme="6" tint="0.59999389629810485"/>
        <bgColor theme="6" tint="0.59999389629810485"/>
      </patternFill>
    </fill>
    <fill>
      <patternFill patternType="solid">
        <fgColor theme="5" tint="0.59999389629810485"/>
        <bgColor theme="5" tint="0.59999389629810485"/>
      </patternFill>
    </fill>
    <fill>
      <patternFill patternType="solid">
        <fgColor rgb="FFFFFF00"/>
        <bgColor theme="6" tint="0.79998168889431442"/>
      </patternFill>
    </fill>
    <fill>
      <patternFill patternType="solid">
        <fgColor rgb="FFFFFF00"/>
        <bgColor theme="6" tint="0.59999389629810485"/>
      </patternFill>
    </fill>
    <fill>
      <patternFill patternType="solid">
        <fgColor rgb="FFFFFF00"/>
        <bgColor theme="0" tint="-0.14999847407452621"/>
      </patternFill>
    </fill>
    <fill>
      <patternFill patternType="solid">
        <fgColor rgb="FFFFFF00"/>
        <bgColor indexed="64"/>
      </patternFill>
    </fill>
  </fills>
  <borders count="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1"/>
      </left>
      <right style="thin">
        <color theme="1"/>
      </right>
      <top style="thin">
        <color theme="1"/>
      </top>
      <bottom style="medium">
        <color theme="1"/>
      </bottom>
      <diagonal/>
    </border>
    <border>
      <left style="thin">
        <color theme="1"/>
      </left>
      <right/>
      <top style="thin">
        <color indexed="64"/>
      </top>
      <bottom/>
      <diagonal/>
    </border>
    <border>
      <left style="thin">
        <color theme="1"/>
      </left>
      <right style="thin">
        <color theme="1"/>
      </right>
      <top style="thin">
        <color indexed="64"/>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medium">
        <color theme="1"/>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rgb="FF7F7F7F"/>
      </left>
      <right style="thin">
        <color rgb="FF7F7F7F"/>
      </right>
      <top style="thin">
        <color rgb="FF7F7F7F"/>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indexed="64"/>
      </bottom>
      <diagonal/>
    </border>
    <border>
      <left/>
      <right style="thin">
        <color rgb="FF7F7F7F"/>
      </right>
      <top style="thin">
        <color rgb="FF7F7F7F"/>
      </top>
      <bottom style="thin">
        <color rgb="FF7F7F7F"/>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rgb="FFFFFFFF"/>
      </bottom>
      <diagonal/>
    </border>
    <border>
      <left/>
      <right/>
      <top style="thin">
        <color rgb="FFFFFFFF"/>
      </top>
      <bottom/>
      <diagonal/>
    </border>
    <border>
      <left style="thin">
        <color theme="0"/>
      </left>
      <right/>
      <top style="thin">
        <color indexed="64"/>
      </top>
      <bottom/>
      <diagonal/>
    </border>
    <border>
      <left style="thin">
        <color theme="0"/>
      </left>
      <right style="thin">
        <color theme="0"/>
      </right>
      <top style="thin">
        <color indexed="64"/>
      </top>
      <bottom/>
      <diagonal/>
    </border>
    <border>
      <left style="thin">
        <color rgb="FF7F7F7F"/>
      </left>
      <right/>
      <top style="thin">
        <color rgb="FF7F7F7F"/>
      </top>
      <bottom/>
      <diagonal/>
    </border>
    <border>
      <left style="thin">
        <color rgb="FF7F7F7F"/>
      </left>
      <right style="thin">
        <color theme="0"/>
      </right>
      <top style="thin">
        <color theme="0"/>
      </top>
      <bottom/>
      <diagonal/>
    </border>
    <border>
      <left style="thin">
        <color theme="0"/>
      </left>
      <right/>
      <top style="thin">
        <color rgb="FF7F7F7F"/>
      </top>
      <bottom/>
      <diagonal/>
    </border>
    <border>
      <left/>
      <right/>
      <top style="thin">
        <color theme="0"/>
      </top>
      <bottom style="thin">
        <color theme="0"/>
      </bottom>
      <diagonal/>
    </border>
    <border>
      <left/>
      <right/>
      <top style="thick">
        <color theme="0"/>
      </top>
      <bottom/>
      <diagonal/>
    </border>
    <border>
      <left style="thin">
        <color rgb="FF7F7F7F"/>
      </left>
      <right/>
      <top style="thin">
        <color theme="0"/>
      </top>
      <bottom/>
      <diagonal/>
    </border>
    <border>
      <left style="thin">
        <color theme="1"/>
      </left>
      <right/>
      <top style="thin">
        <color theme="0"/>
      </top>
      <bottom/>
      <diagonal/>
    </border>
    <border>
      <left style="thin">
        <color theme="0"/>
      </left>
      <right style="thin">
        <color theme="1"/>
      </right>
      <top style="thin">
        <color theme="0"/>
      </top>
      <bottom/>
      <diagonal/>
    </border>
    <border>
      <left style="thin">
        <color theme="1"/>
      </left>
      <right style="thin">
        <color theme="1"/>
      </right>
      <top style="thin">
        <color theme="0"/>
      </top>
      <bottom/>
      <diagonal/>
    </border>
    <border>
      <left/>
      <right/>
      <top style="thin">
        <color theme="0"/>
      </top>
      <bottom style="thin">
        <color rgb="FFFFFFFF"/>
      </bottom>
      <diagonal/>
    </border>
    <border>
      <left style="thin">
        <color theme="0"/>
      </left>
      <right/>
      <top style="thin">
        <color theme="0"/>
      </top>
      <bottom style="thin">
        <color rgb="FFFFFFFF"/>
      </bottom>
      <diagonal/>
    </border>
    <border>
      <left style="thin">
        <color theme="0"/>
      </left>
      <right/>
      <top style="thin">
        <color rgb="FFFFFFFF"/>
      </top>
      <bottom/>
      <diagonal/>
    </border>
    <border>
      <left style="thin">
        <color theme="1"/>
      </left>
      <right/>
      <top style="thin">
        <color rgb="FFFFFFFF"/>
      </top>
      <bottom/>
      <diagonal/>
    </border>
    <border>
      <left style="thin">
        <color theme="0"/>
      </left>
      <right style="thin">
        <color theme="1"/>
      </right>
      <top style="thin">
        <color rgb="FFFFFFFF"/>
      </top>
      <bottom/>
      <diagonal/>
    </border>
    <border>
      <left style="thin">
        <color theme="1"/>
      </left>
      <right/>
      <top style="medium">
        <color theme="1"/>
      </top>
      <bottom/>
      <diagonal/>
    </border>
    <border>
      <left style="thin">
        <color theme="0"/>
      </left>
      <right/>
      <top style="medium">
        <color theme="1"/>
      </top>
      <bottom/>
      <diagonal/>
    </border>
    <border>
      <left style="thin">
        <color rgb="FF7F7F7F"/>
      </left>
      <right/>
      <top style="thin">
        <color indexed="64"/>
      </top>
      <bottom/>
      <diagonal/>
    </border>
    <border>
      <left style="thin">
        <color theme="1"/>
      </left>
      <right/>
      <top style="thick">
        <color theme="0"/>
      </top>
      <bottom/>
      <diagonal/>
    </border>
    <border>
      <left style="thin">
        <color theme="1"/>
      </left>
      <right/>
      <top style="thin">
        <color theme="0"/>
      </top>
      <bottom style="medium">
        <color theme="1"/>
      </bottom>
      <diagonal/>
    </border>
    <border>
      <left style="thin">
        <color rgb="FF7F7F7F"/>
      </left>
      <right/>
      <top style="thin">
        <color rgb="FF7F7F7F"/>
      </top>
      <bottom style="medium">
        <color indexed="64"/>
      </bottom>
      <diagonal/>
    </border>
    <border>
      <left style="thin">
        <color theme="1"/>
      </left>
      <right style="thin">
        <color theme="1"/>
      </right>
      <top style="medium">
        <color theme="1"/>
      </top>
      <bottom/>
      <diagonal/>
    </border>
    <border>
      <left style="thin">
        <color theme="1"/>
      </left>
      <right style="thin">
        <color theme="1"/>
      </right>
      <top style="medium">
        <color theme="1"/>
      </top>
      <bottom style="medium">
        <color theme="1"/>
      </bottom>
      <diagonal/>
    </border>
    <border>
      <left style="thin">
        <color theme="1"/>
      </left>
      <right/>
      <top style="medium">
        <color theme="1"/>
      </top>
      <bottom style="medium">
        <color theme="1"/>
      </bottom>
      <diagonal/>
    </border>
    <border>
      <left style="thin">
        <color theme="1"/>
      </left>
      <right/>
      <top style="thin">
        <color indexed="64"/>
      </top>
      <bottom style="medium">
        <color theme="1"/>
      </bottom>
      <diagonal/>
    </border>
    <border>
      <left style="thin">
        <color theme="1"/>
      </left>
      <right style="thin">
        <color theme="1"/>
      </right>
      <top style="thin">
        <color indexed="64"/>
      </top>
      <bottom style="medium">
        <color theme="1"/>
      </bottom>
      <diagonal/>
    </border>
    <border>
      <left style="thin">
        <color theme="6" tint="0.39997558519241921"/>
      </left>
      <right/>
      <top style="medium">
        <color theme="1"/>
      </top>
      <bottom/>
      <diagonal/>
    </border>
    <border>
      <left style="thin">
        <color theme="6" tint="0.39997558519241921"/>
      </left>
      <right style="thin">
        <color theme="6" tint="0.39997558519241921"/>
      </right>
      <top style="medium">
        <color theme="1"/>
      </top>
      <bottom/>
      <diagonal/>
    </border>
    <border>
      <left style="thin">
        <color theme="1"/>
      </left>
      <right/>
      <top style="thin">
        <color theme="6" tint="0.39997558519241921"/>
      </top>
      <bottom/>
      <diagonal/>
    </border>
    <border>
      <left style="thin">
        <color theme="6" tint="0.39997558519241921"/>
      </left>
      <right/>
      <top style="thin">
        <color theme="6" tint="0.39997558519241921"/>
      </top>
      <bottom/>
      <diagonal/>
    </border>
    <border>
      <left style="thin">
        <color theme="6" tint="0.39997558519241921"/>
      </left>
      <right style="thin">
        <color theme="6" tint="0.39997558519241921"/>
      </right>
      <top style="thin">
        <color theme="6" tint="0.39997558519241921"/>
      </top>
      <bottom/>
      <diagonal/>
    </border>
    <border>
      <left style="thin">
        <color theme="1"/>
      </left>
      <right/>
      <top/>
      <bottom style="thin">
        <color indexed="64"/>
      </bottom>
      <diagonal/>
    </border>
    <border>
      <left style="thin">
        <color theme="6" tint="0.39997558519241921"/>
      </left>
      <right/>
      <top/>
      <bottom style="thin">
        <color indexed="64"/>
      </bottom>
      <diagonal/>
    </border>
    <border>
      <left style="thin">
        <color theme="6" tint="0.39997558519241921"/>
      </left>
      <right style="thin">
        <color theme="6" tint="0.39997558519241921"/>
      </right>
      <top style="medium">
        <color theme="1"/>
      </top>
      <bottom style="thin">
        <color indexed="64"/>
      </bottom>
      <diagonal/>
    </border>
    <border>
      <left style="thin">
        <color theme="6" tint="0.39997558519241921"/>
      </left>
      <right style="thin">
        <color theme="6" tint="0.39997558519241921"/>
      </right>
      <top/>
      <bottom/>
      <diagonal/>
    </border>
    <border>
      <left style="thin">
        <color theme="1"/>
      </left>
      <right/>
      <top/>
      <bottom/>
      <diagonal/>
    </border>
    <border>
      <left/>
      <right style="thin">
        <color theme="0"/>
      </right>
      <top style="thin">
        <color theme="0"/>
      </top>
      <bottom/>
      <diagonal/>
    </border>
    <border>
      <left style="thin">
        <color theme="1"/>
      </left>
      <right style="thin">
        <color rgb="FF7F7F7F"/>
      </right>
      <top style="thin">
        <color theme="0"/>
      </top>
      <bottom style="thin">
        <color theme="0"/>
      </bottom>
      <diagonal/>
    </border>
    <border>
      <left style="thin">
        <color theme="1"/>
      </left>
      <right/>
      <top style="thin">
        <color theme="0"/>
      </top>
      <bottom style="medium">
        <color indexed="64"/>
      </bottom>
      <diagonal/>
    </border>
    <border>
      <left style="thin">
        <color rgb="FF7F7F7F"/>
      </left>
      <right style="thin">
        <color indexed="64"/>
      </right>
      <top style="thin">
        <color indexed="64"/>
      </top>
      <bottom/>
      <diagonal/>
    </border>
    <border>
      <left style="thin">
        <color rgb="FF7F7F7F"/>
      </left>
      <right style="thin">
        <color indexed="64"/>
      </right>
      <top style="thin">
        <color rgb="FF7F7F7F"/>
      </top>
      <bottom/>
      <diagonal/>
    </border>
    <border>
      <left style="thin">
        <color rgb="FF7F7F7F"/>
      </left>
      <right style="thin">
        <color indexed="64"/>
      </right>
      <top style="thin">
        <color rgb="FF7F7F7F"/>
      </top>
      <bottom style="medium">
        <color indexed="64"/>
      </bottom>
      <diagonal/>
    </border>
    <border>
      <left style="thin">
        <color theme="0"/>
      </left>
      <right style="thin">
        <color indexed="64"/>
      </right>
      <top style="thin">
        <color theme="0"/>
      </top>
      <bottom style="thin">
        <color rgb="FF7F7F7F"/>
      </bottom>
      <diagonal/>
    </border>
    <border>
      <left style="thin">
        <color theme="0"/>
      </left>
      <right style="thin">
        <color indexed="64"/>
      </right>
      <top style="medium">
        <color theme="1"/>
      </top>
      <bottom style="thin">
        <color indexed="64"/>
      </bottom>
      <diagonal/>
    </border>
  </borders>
  <cellStyleXfs count="6">
    <xf numFmtId="0" fontId="0" fillId="0" borderId="0"/>
    <xf numFmtId="43" fontId="1" fillId="0" borderId="0" applyFont="0" applyFill="0" applyBorder="0" applyAlignment="0" applyProtection="0"/>
    <xf numFmtId="0" fontId="26" fillId="10" borderId="16" applyNumberFormat="0" applyAlignment="0">
      <protection locked="0"/>
    </xf>
    <xf numFmtId="0" fontId="32" fillId="0" borderId="0"/>
    <xf numFmtId="0" fontId="34" fillId="0" borderId="0"/>
    <xf numFmtId="0" fontId="37" fillId="0" borderId="0" applyNumberFormat="0" applyFill="0" applyBorder="0" applyAlignment="0" applyProtection="0"/>
  </cellStyleXfs>
  <cellXfs count="331">
    <xf numFmtId="0" fontId="0" fillId="0" borderId="0" xfId="0"/>
    <xf numFmtId="0" fontId="2" fillId="0" borderId="0" xfId="0" applyFont="1"/>
    <xf numFmtId="0" fontId="0" fillId="0" borderId="0" xfId="0" applyAlignment="1">
      <alignment horizontal="center"/>
    </xf>
    <xf numFmtId="164" fontId="0" fillId="0" borderId="0" xfId="0" applyNumberFormat="1" applyAlignment="1">
      <alignment horizontal="center"/>
    </xf>
    <xf numFmtId="0" fontId="4" fillId="0" borderId="0" xfId="0" applyFont="1"/>
    <xf numFmtId="0" fontId="4" fillId="0" borderId="1" xfId="0" applyFont="1" applyBorder="1"/>
    <xf numFmtId="0" fontId="0" fillId="0" borderId="0" xfId="0" applyAlignment="1">
      <alignment wrapText="1"/>
    </xf>
    <xf numFmtId="0" fontId="2" fillId="0" borderId="1" xfId="0" applyFont="1" applyBorder="1"/>
    <xf numFmtId="0" fontId="0" fillId="0" borderId="0" xfId="0" applyAlignment="1">
      <alignment horizontal="left"/>
    </xf>
    <xf numFmtId="0" fontId="6" fillId="0" borderId="0" xfId="0" applyFont="1"/>
    <xf numFmtId="0" fontId="0" fillId="0" borderId="0" xfId="0" applyFont="1" applyAlignment="1">
      <alignment horizontal="left"/>
    </xf>
    <xf numFmtId="0" fontId="2" fillId="0" borderId="0" xfId="0" applyFont="1" applyFill="1" applyBorder="1"/>
    <xf numFmtId="0" fontId="2" fillId="0" borderId="1" xfId="0" applyFont="1" applyFill="1" applyBorder="1"/>
    <xf numFmtId="165" fontId="0" fillId="0" borderId="0" xfId="1" applyNumberFormat="1" applyFont="1" applyAlignment="1">
      <alignment horizontal="center"/>
    </xf>
    <xf numFmtId="0" fontId="0" fillId="0" borderId="0" xfId="0" applyFont="1"/>
    <xf numFmtId="0" fontId="0" fillId="0" borderId="0" xfId="0" applyAlignment="1">
      <alignment vertical="top"/>
    </xf>
    <xf numFmtId="0" fontId="0" fillId="0" borderId="0" xfId="0" applyFont="1" applyAlignment="1">
      <alignment horizontal="center"/>
    </xf>
    <xf numFmtId="2" fontId="0" fillId="0" borderId="0" xfId="0" applyNumberFormat="1" applyAlignment="1">
      <alignment horizontal="center" vertical="center"/>
    </xf>
    <xf numFmtId="2" fontId="0" fillId="0" borderId="0" xfId="0" applyNumberFormat="1"/>
    <xf numFmtId="2" fontId="0" fillId="0" borderId="0" xfId="0" applyNumberFormat="1" applyAlignment="1">
      <alignment horizontal="center"/>
    </xf>
    <xf numFmtId="164" fontId="0" fillId="0" borderId="0" xfId="0" applyNumberFormat="1" applyFont="1" applyAlignment="1">
      <alignment horizontal="center"/>
    </xf>
    <xf numFmtId="2" fontId="11" fillId="0" borderId="0" xfId="0" applyNumberFormat="1" applyFont="1"/>
    <xf numFmtId="2" fontId="12" fillId="0" borderId="0" xfId="0" applyNumberFormat="1" applyFont="1"/>
    <xf numFmtId="2" fontId="13" fillId="0" borderId="0" xfId="0" applyNumberFormat="1" applyFont="1"/>
    <xf numFmtId="0" fontId="14" fillId="0" borderId="2" xfId="0" applyFont="1" applyBorder="1"/>
    <xf numFmtId="0" fontId="14" fillId="0" borderId="2" xfId="0" applyFont="1" applyBorder="1" applyAlignment="1">
      <alignment horizontal="left"/>
    </xf>
    <xf numFmtId="0" fontId="15" fillId="0" borderId="2" xfId="0" applyFont="1" applyBorder="1"/>
    <xf numFmtId="2" fontId="14" fillId="0" borderId="2" xfId="0" applyNumberFormat="1" applyFont="1" applyBorder="1"/>
    <xf numFmtId="0" fontId="0" fillId="4" borderId="10" xfId="0" applyFont="1" applyFill="1" applyBorder="1"/>
    <xf numFmtId="0" fontId="0" fillId="0" borderId="12" xfId="0" applyFont="1" applyBorder="1"/>
    <xf numFmtId="0" fontId="0" fillId="4" borderId="12" xfId="0" applyFont="1" applyFill="1" applyBorder="1"/>
    <xf numFmtId="0" fontId="0" fillId="4" borderId="11" xfId="0" applyFont="1" applyFill="1" applyBorder="1" applyAlignment="1">
      <alignment horizontal="center"/>
    </xf>
    <xf numFmtId="0" fontId="0" fillId="0" borderId="13" xfId="0" applyFont="1" applyBorder="1" applyAlignment="1">
      <alignment horizontal="center"/>
    </xf>
    <xf numFmtId="0" fontId="0" fillId="4" borderId="13" xfId="0" applyFont="1" applyFill="1" applyBorder="1" applyAlignment="1">
      <alignment horizontal="center"/>
    </xf>
    <xf numFmtId="0" fontId="0" fillId="0" borderId="14" xfId="0" applyFont="1" applyBorder="1" applyAlignment="1">
      <alignment wrapText="1"/>
    </xf>
    <xf numFmtId="2" fontId="5" fillId="0" borderId="0" xfId="0" applyNumberFormat="1" applyFont="1" applyAlignment="1">
      <alignment horizontal="center" vertical="center"/>
    </xf>
    <xf numFmtId="2" fontId="5" fillId="0" borderId="0" xfId="0" applyNumberFormat="1" applyFont="1" applyAlignment="1">
      <alignment horizontal="center"/>
    </xf>
    <xf numFmtId="2" fontId="5" fillId="0" borderId="0" xfId="0" applyNumberFormat="1" applyFont="1"/>
    <xf numFmtId="2" fontId="19" fillId="0" borderId="0" xfId="0" applyNumberFormat="1" applyFont="1" applyAlignment="1">
      <alignment horizontal="left" vertical="top"/>
    </xf>
    <xf numFmtId="0" fontId="14" fillId="0" borderId="2" xfId="0" applyFont="1" applyBorder="1" applyAlignment="1">
      <alignment horizontal="left" vertical="top"/>
    </xf>
    <xf numFmtId="0" fontId="21" fillId="0" borderId="1" xfId="0" applyFont="1" applyBorder="1"/>
    <xf numFmtId="0" fontId="21" fillId="0" borderId="0" xfId="0" applyFont="1"/>
    <xf numFmtId="0" fontId="23" fillId="0" borderId="0" xfId="0" applyFont="1" applyAlignment="1">
      <alignment wrapText="1"/>
    </xf>
    <xf numFmtId="2" fontId="0" fillId="0" borderId="0" xfId="0" applyNumberFormat="1" applyFont="1" applyFill="1"/>
    <xf numFmtId="2" fontId="0" fillId="0" borderId="0" xfId="0" applyNumberFormat="1" applyBorder="1"/>
    <xf numFmtId="2" fontId="4" fillId="0" borderId="0" xfId="0" applyNumberFormat="1" applyFont="1" applyFill="1" applyBorder="1"/>
    <xf numFmtId="2" fontId="0" fillId="0" borderId="0" xfId="0" applyNumberFormat="1" applyFill="1" applyBorder="1"/>
    <xf numFmtId="0" fontId="0" fillId="0" borderId="0" xfId="0" applyFill="1"/>
    <xf numFmtId="0" fontId="26" fillId="10" borderId="16" xfId="2" applyAlignment="1">
      <alignment horizontal="left"/>
      <protection locked="0"/>
    </xf>
    <xf numFmtId="0" fontId="0" fillId="0" borderId="0" xfId="0" applyAlignment="1">
      <alignment vertical="top" wrapText="1"/>
    </xf>
    <xf numFmtId="0" fontId="0" fillId="0" borderId="0" xfId="0" applyAlignment="1"/>
    <xf numFmtId="0" fontId="0" fillId="0" borderId="0" xfId="0" applyFont="1" applyBorder="1" applyAlignment="1">
      <alignment wrapText="1"/>
    </xf>
    <xf numFmtId="0" fontId="0" fillId="0" borderId="0" xfId="0" applyFont="1" applyBorder="1" applyAlignment="1">
      <alignment horizontal="center" vertical="center"/>
    </xf>
    <xf numFmtId="0" fontId="32" fillId="0" borderId="0" xfId="3"/>
    <xf numFmtId="0" fontId="0" fillId="0" borderId="0" xfId="0" applyFont="1" applyFill="1" applyBorder="1" applyAlignment="1">
      <alignment wrapText="1"/>
    </xf>
    <xf numFmtId="0" fontId="0" fillId="0" borderId="0" xfId="0" applyAlignment="1">
      <alignment vertical="center"/>
    </xf>
    <xf numFmtId="0" fontId="4" fillId="6" borderId="5" xfId="0" applyFont="1" applyFill="1" applyBorder="1" applyAlignment="1"/>
    <xf numFmtId="0" fontId="4" fillId="6" borderId="6" xfId="0" applyFont="1" applyFill="1" applyBorder="1" applyAlignment="1"/>
    <xf numFmtId="0" fontId="2" fillId="7" borderId="5" xfId="0" applyFont="1" applyFill="1" applyBorder="1" applyAlignment="1"/>
    <xf numFmtId="0" fontId="2" fillId="7" borderId="6" xfId="0" applyFont="1" applyFill="1" applyBorder="1" applyAlignment="1"/>
    <xf numFmtId="2" fontId="26" fillId="10" borderId="16" xfId="2" applyNumberFormat="1" applyAlignment="1">
      <alignment horizontal="left"/>
      <protection locked="0"/>
    </xf>
    <xf numFmtId="0" fontId="2" fillId="0" borderId="2" xfId="0" applyFont="1" applyBorder="1"/>
    <xf numFmtId="2" fontId="4" fillId="9" borderId="3" xfId="0" applyNumberFormat="1" applyFont="1" applyFill="1" applyBorder="1" applyAlignment="1">
      <alignment horizontal="center" vertical="center"/>
    </xf>
    <xf numFmtId="2" fontId="2" fillId="0" borderId="0" xfId="0" applyNumberFormat="1" applyFont="1" applyFill="1" applyBorder="1"/>
    <xf numFmtId="2" fontId="2" fillId="0" borderId="0" xfId="0" applyNumberFormat="1" applyFont="1" applyFill="1" applyBorder="1" applyAlignment="1">
      <alignment vertical="center"/>
    </xf>
    <xf numFmtId="2" fontId="2" fillId="0" borderId="0" xfId="0" applyNumberFormat="1" applyFont="1" applyFill="1" applyBorder="1" applyAlignment="1"/>
    <xf numFmtId="168" fontId="2" fillId="0" borderId="0" xfId="0" applyNumberFormat="1" applyFont="1" applyFill="1" applyBorder="1" applyAlignment="1">
      <alignment vertical="center"/>
    </xf>
    <xf numFmtId="0" fontId="37" fillId="0" borderId="0" xfId="5" applyAlignment="1">
      <alignment vertical="top"/>
    </xf>
    <xf numFmtId="0" fontId="37" fillId="0" borderId="0" xfId="5" applyAlignment="1"/>
    <xf numFmtId="0" fontId="0" fillId="0" borderId="0" xfId="0" applyAlignment="1">
      <alignment horizontal="left"/>
    </xf>
    <xf numFmtId="168" fontId="35" fillId="0" borderId="0" xfId="4" applyNumberFormat="1" applyFont="1" applyFill="1" applyBorder="1" applyAlignment="1">
      <alignment horizontal="center" wrapText="1"/>
    </xf>
    <xf numFmtId="2" fontId="4" fillId="7" borderId="22" xfId="0" applyNumberFormat="1" applyFont="1" applyFill="1" applyBorder="1" applyAlignment="1">
      <alignment horizontal="center"/>
    </xf>
    <xf numFmtId="2" fontId="3" fillId="2" borderId="0" xfId="0" applyNumberFormat="1" applyFont="1" applyFill="1" applyBorder="1"/>
    <xf numFmtId="2" fontId="3" fillId="2" borderId="15" xfId="0" applyNumberFormat="1" applyFont="1" applyFill="1" applyBorder="1" applyAlignment="1">
      <alignment horizontal="center"/>
    </xf>
    <xf numFmtId="2" fontId="3" fillId="2" borderId="4" xfId="0" applyNumberFormat="1" applyFont="1" applyFill="1" applyBorder="1" applyAlignment="1">
      <alignment horizontal="center"/>
    </xf>
    <xf numFmtId="2" fontId="2" fillId="16" borderId="17" xfId="0" applyNumberFormat="1" applyFont="1" applyFill="1" applyBorder="1"/>
    <xf numFmtId="2" fontId="2" fillId="16" borderId="27" xfId="0" applyNumberFormat="1" applyFont="1" applyFill="1" applyBorder="1" applyAlignment="1">
      <alignment horizontal="center" vertical="center"/>
    </xf>
    <xf numFmtId="2" fontId="0" fillId="11" borderId="23" xfId="0" applyNumberFormat="1" applyFont="1" applyFill="1" applyBorder="1"/>
    <xf numFmtId="1" fontId="26" fillId="10" borderId="28" xfId="2" applyNumberFormat="1" applyFont="1" applyFill="1" applyBorder="1" applyAlignment="1">
      <alignment horizontal="center" vertical="center"/>
      <protection locked="0"/>
    </xf>
    <xf numFmtId="1" fontId="2" fillId="11" borderId="29" xfId="0" applyNumberFormat="1" applyFont="1" applyFill="1" applyBorder="1" applyAlignment="1">
      <alignment horizontal="center" vertical="center"/>
    </xf>
    <xf numFmtId="2" fontId="0" fillId="16" borderId="23" xfId="0" applyNumberFormat="1" applyFont="1" applyFill="1" applyBorder="1"/>
    <xf numFmtId="2" fontId="0" fillId="16" borderId="30" xfId="0" applyNumberFormat="1" applyFont="1" applyFill="1" applyBorder="1" applyAlignment="1">
      <alignment horizontal="center" vertical="center"/>
    </xf>
    <xf numFmtId="2" fontId="0" fillId="16" borderId="30" xfId="0" applyNumberFormat="1" applyFont="1" applyFill="1" applyBorder="1" applyAlignment="1">
      <alignment horizontal="center"/>
    </xf>
    <xf numFmtId="2" fontId="2" fillId="16" borderId="3" xfId="0" applyNumberFormat="1" applyFont="1" applyFill="1" applyBorder="1" applyAlignment="1">
      <alignment horizontal="center" vertical="center"/>
    </xf>
    <xf numFmtId="2" fontId="2" fillId="11" borderId="23" xfId="0" applyNumberFormat="1" applyFont="1" applyFill="1" applyBorder="1"/>
    <xf numFmtId="2" fontId="0" fillId="11" borderId="22" xfId="0" applyNumberFormat="1" applyFont="1" applyFill="1" applyBorder="1" applyAlignment="1">
      <alignment horizontal="center" vertical="center"/>
    </xf>
    <xf numFmtId="2" fontId="2" fillId="11" borderId="3" xfId="0" applyNumberFormat="1" applyFont="1" applyFill="1" applyBorder="1" applyAlignment="1">
      <alignment horizontal="center" vertical="center"/>
    </xf>
    <xf numFmtId="1" fontId="0" fillId="16" borderId="29" xfId="0" applyNumberFormat="1" applyFont="1" applyFill="1" applyBorder="1" applyAlignment="1">
      <alignment horizontal="center" vertical="center"/>
    </xf>
    <xf numFmtId="2" fontId="0" fillId="11" borderId="30" xfId="0" applyNumberFormat="1" applyFont="1" applyFill="1" applyBorder="1" applyAlignment="1">
      <alignment horizontal="center" vertical="center"/>
    </xf>
    <xf numFmtId="2" fontId="2" fillId="16" borderId="23" xfId="0" applyNumberFormat="1" applyFont="1" applyFill="1" applyBorder="1"/>
    <xf numFmtId="2" fontId="0" fillId="11" borderId="23" xfId="0" applyNumberFormat="1" applyFont="1" applyFill="1" applyBorder="1" applyAlignment="1">
      <alignment vertical="top"/>
    </xf>
    <xf numFmtId="2" fontId="0" fillId="16" borderId="23" xfId="0" applyNumberFormat="1" applyFont="1" applyFill="1" applyBorder="1" applyAlignment="1">
      <alignment vertical="top"/>
    </xf>
    <xf numFmtId="2" fontId="4" fillId="9" borderId="23" xfId="0" applyNumberFormat="1" applyFont="1" applyFill="1" applyBorder="1"/>
    <xf numFmtId="2" fontId="4" fillId="9" borderId="22" xfId="0" applyNumberFormat="1" applyFont="1" applyFill="1" applyBorder="1" applyAlignment="1">
      <alignment horizontal="center" vertical="center"/>
    </xf>
    <xf numFmtId="2" fontId="4" fillId="9" borderId="31" xfId="0" applyNumberFormat="1" applyFont="1" applyFill="1" applyBorder="1"/>
    <xf numFmtId="1" fontId="4" fillId="9" borderId="7" xfId="1" applyNumberFormat="1" applyFont="1" applyFill="1" applyBorder="1" applyAlignment="1">
      <alignment horizontal="center" vertical="center"/>
    </xf>
    <xf numFmtId="2" fontId="3" fillId="12" borderId="0" xfId="0" applyNumberFormat="1" applyFont="1" applyFill="1" applyBorder="1"/>
    <xf numFmtId="2" fontId="3" fillId="12" borderId="15" xfId="0" applyNumberFormat="1" applyFont="1" applyFill="1" applyBorder="1" applyAlignment="1">
      <alignment horizontal="center"/>
    </xf>
    <xf numFmtId="2" fontId="3" fillId="12" borderId="4" xfId="0" applyNumberFormat="1" applyFont="1" applyFill="1" applyBorder="1" applyAlignment="1">
      <alignment horizontal="center"/>
    </xf>
    <xf numFmtId="2" fontId="5" fillId="17" borderId="32" xfId="0" applyNumberFormat="1" applyFont="1" applyFill="1" applyBorder="1"/>
    <xf numFmtId="2" fontId="0" fillId="17" borderId="26" xfId="0" applyNumberFormat="1" applyFont="1" applyFill="1" applyBorder="1" applyAlignment="1">
      <alignment horizontal="center" vertical="center"/>
    </xf>
    <xf numFmtId="2" fontId="2" fillId="17" borderId="26" xfId="0" applyNumberFormat="1" applyFont="1" applyFill="1" applyBorder="1" applyAlignment="1">
      <alignment horizontal="center" vertical="center"/>
    </xf>
    <xf numFmtId="2" fontId="0" fillId="13" borderId="23" xfId="0" applyNumberFormat="1" applyFont="1" applyFill="1" applyBorder="1"/>
    <xf numFmtId="1" fontId="0" fillId="13" borderId="33" xfId="0" applyNumberFormat="1" applyFont="1" applyFill="1" applyBorder="1" applyAlignment="1">
      <alignment horizontal="center" vertical="center"/>
    </xf>
    <xf numFmtId="2" fontId="4" fillId="8" borderId="23" xfId="0" applyNumberFormat="1" applyFont="1" applyFill="1" applyBorder="1"/>
    <xf numFmtId="2" fontId="4" fillId="8" borderId="30" xfId="1" applyNumberFormat="1" applyFont="1" applyFill="1" applyBorder="1" applyAlignment="1">
      <alignment horizontal="center" vertical="center"/>
    </xf>
    <xf numFmtId="2" fontId="4" fillId="8" borderId="22" xfId="1" applyNumberFormat="1" applyFont="1" applyFill="1" applyBorder="1" applyAlignment="1">
      <alignment horizontal="center" vertical="center"/>
    </xf>
    <xf numFmtId="2" fontId="10" fillId="14" borderId="23" xfId="0" applyNumberFormat="1" applyFont="1" applyFill="1" applyBorder="1"/>
    <xf numFmtId="2" fontId="3" fillId="14" borderId="22" xfId="0" applyNumberFormat="1" applyFont="1" applyFill="1" applyBorder="1" applyAlignment="1">
      <alignment horizontal="center" vertical="center"/>
    </xf>
    <xf numFmtId="2" fontId="0" fillId="18" borderId="23" xfId="0" applyNumberFormat="1" applyFont="1" applyFill="1" applyBorder="1"/>
    <xf numFmtId="2" fontId="0" fillId="18" borderId="22" xfId="0" applyNumberFormat="1" applyFont="1" applyFill="1" applyBorder="1" applyAlignment="1">
      <alignment horizontal="center" vertical="center"/>
    </xf>
    <xf numFmtId="2" fontId="2" fillId="18" borderId="22" xfId="0" applyNumberFormat="1" applyFont="1" applyFill="1" applyBorder="1" applyAlignment="1">
      <alignment horizontal="center" vertical="center"/>
    </xf>
    <xf numFmtId="2" fontId="0" fillId="15" borderId="23" xfId="0" applyNumberFormat="1" applyFont="1" applyFill="1" applyBorder="1"/>
    <xf numFmtId="1" fontId="26" fillId="10" borderId="18" xfId="2" applyNumberFormat="1" applyFont="1" applyFill="1" applyBorder="1" applyAlignment="1">
      <alignment horizontal="center" vertical="center"/>
      <protection locked="0"/>
    </xf>
    <xf numFmtId="2" fontId="4" fillId="7" borderId="23" xfId="0" applyNumberFormat="1" applyFont="1" applyFill="1" applyBorder="1"/>
    <xf numFmtId="2" fontId="4" fillId="7" borderId="30" xfId="0" applyNumberFormat="1" applyFont="1" applyFill="1" applyBorder="1" applyAlignment="1">
      <alignment horizontal="center" vertical="center"/>
    </xf>
    <xf numFmtId="2" fontId="10" fillId="3" borderId="34" xfId="0" applyNumberFormat="1" applyFont="1" applyFill="1" applyBorder="1"/>
    <xf numFmtId="2" fontId="3" fillId="3" borderId="22" xfId="0" applyNumberFormat="1" applyFont="1" applyFill="1" applyBorder="1" applyAlignment="1">
      <alignment horizontal="center" vertical="center"/>
    </xf>
    <xf numFmtId="2" fontId="3" fillId="3" borderId="35" xfId="0" applyNumberFormat="1" applyFont="1" applyFill="1" applyBorder="1" applyAlignment="1">
      <alignment horizontal="center" vertical="center"/>
    </xf>
    <xf numFmtId="2" fontId="0" fillId="4" borderId="34" xfId="0" applyNumberFormat="1" applyFont="1" applyFill="1" applyBorder="1"/>
    <xf numFmtId="2" fontId="0" fillId="0" borderId="14" xfId="0" applyNumberFormat="1" applyFont="1" applyBorder="1"/>
    <xf numFmtId="168" fontId="0" fillId="11" borderId="30" xfId="0" applyNumberFormat="1" applyFont="1" applyFill="1" applyBorder="1" applyAlignment="1">
      <alignment horizontal="center" vertical="center"/>
    </xf>
    <xf numFmtId="2" fontId="4" fillId="9" borderId="37" xfId="0" applyNumberFormat="1" applyFont="1" applyFill="1" applyBorder="1"/>
    <xf numFmtId="164" fontId="0" fillId="17" borderId="26" xfId="0" applyNumberFormat="1" applyFont="1" applyFill="1" applyBorder="1" applyAlignment="1">
      <alignment horizontal="center" vertical="center"/>
    </xf>
    <xf numFmtId="164" fontId="2" fillId="17" borderId="26" xfId="0" applyNumberFormat="1" applyFont="1" applyFill="1" applyBorder="1" applyAlignment="1">
      <alignment horizontal="right" vertical="center"/>
    </xf>
    <xf numFmtId="2" fontId="10" fillId="14" borderId="25" xfId="0" applyNumberFormat="1" applyFont="1" applyFill="1" applyBorder="1"/>
    <xf numFmtId="164" fontId="3" fillId="14" borderId="39" xfId="0" applyNumberFormat="1" applyFont="1" applyFill="1" applyBorder="1" applyAlignment="1">
      <alignment horizontal="center" vertical="center"/>
    </xf>
    <xf numFmtId="2" fontId="10" fillId="3" borderId="40" xfId="0" applyNumberFormat="1" applyFont="1" applyFill="1" applyBorder="1"/>
    <xf numFmtId="164" fontId="3" fillId="3" borderId="39" xfId="0" applyNumberFormat="1" applyFont="1" applyFill="1" applyBorder="1" applyAlignment="1">
      <alignment horizontal="center" vertical="center"/>
    </xf>
    <xf numFmtId="164" fontId="3" fillId="3" borderId="41" xfId="0" applyNumberFormat="1" applyFont="1" applyFill="1" applyBorder="1" applyAlignment="1">
      <alignment horizontal="center" vertical="center"/>
    </xf>
    <xf numFmtId="164" fontId="3" fillId="14" borderId="39" xfId="0" applyNumberFormat="1" applyFont="1" applyFill="1" applyBorder="1" applyAlignment="1">
      <alignment vertical="center"/>
    </xf>
    <xf numFmtId="0" fontId="4"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2" fillId="0" borderId="1" xfId="0" applyFont="1" applyFill="1" applyBorder="1" applyProtection="1">
      <protection locked="0"/>
    </xf>
    <xf numFmtId="0" fontId="4" fillId="6" borderId="5" xfId="0" applyFont="1" applyFill="1" applyBorder="1" applyAlignment="1" applyProtection="1">
      <protection locked="0"/>
    </xf>
    <xf numFmtId="0" fontId="4" fillId="6" borderId="6" xfId="0" applyFont="1" applyFill="1" applyBorder="1" applyAlignment="1" applyProtection="1">
      <protection locked="0"/>
    </xf>
    <xf numFmtId="0" fontId="2" fillId="5" borderId="5" xfId="0" applyFont="1" applyFill="1" applyBorder="1" applyAlignment="1" applyProtection="1">
      <protection locked="0"/>
    </xf>
    <xf numFmtId="0" fontId="2" fillId="5" borderId="6" xfId="0" applyFont="1" applyFill="1" applyBorder="1" applyAlignment="1" applyProtection="1">
      <protection locked="0"/>
    </xf>
    <xf numFmtId="0" fontId="2" fillId="7" borderId="5" xfId="0" applyFont="1" applyFill="1" applyBorder="1" applyAlignment="1" applyProtection="1">
      <protection locked="0"/>
    </xf>
    <xf numFmtId="0" fontId="2" fillId="7" borderId="6" xfId="0" applyFont="1" applyFill="1" applyBorder="1" applyAlignment="1" applyProtection="1">
      <protection locked="0"/>
    </xf>
    <xf numFmtId="0" fontId="15" fillId="0" borderId="2" xfId="0" applyFont="1" applyBorder="1" applyProtection="1">
      <protection locked="0"/>
    </xf>
    <xf numFmtId="0" fontId="26" fillId="10" borderId="16" xfId="2" applyAlignment="1" applyProtection="1">
      <alignment horizontal="left"/>
      <protection locked="0"/>
    </xf>
    <xf numFmtId="0" fontId="2" fillId="0" borderId="2" xfId="0" applyFont="1" applyBorder="1" applyProtection="1">
      <protection locked="0"/>
    </xf>
    <xf numFmtId="0" fontId="26" fillId="10" borderId="21" xfId="2" applyBorder="1" applyAlignment="1" applyProtection="1">
      <alignment horizontal="left"/>
      <protection locked="0"/>
    </xf>
    <xf numFmtId="0" fontId="14" fillId="0" borderId="2" xfId="0" applyFont="1" applyBorder="1" applyProtection="1">
      <protection locked="0"/>
    </xf>
    <xf numFmtId="0" fontId="14" fillId="0" borderId="2" xfId="0" applyFont="1" applyBorder="1" applyAlignment="1" applyProtection="1">
      <alignment horizontal="left"/>
      <protection locked="0"/>
    </xf>
    <xf numFmtId="0" fontId="14" fillId="0" borderId="2" xfId="0" applyFont="1" applyBorder="1" applyAlignment="1" applyProtection="1">
      <alignment horizontal="left" vertical="top"/>
      <protection locked="0"/>
    </xf>
    <xf numFmtId="0" fontId="26" fillId="10" borderId="16" xfId="2" applyAlignment="1" applyProtection="1">
      <alignment horizontal="left" wrapText="1"/>
      <protection locked="0"/>
    </xf>
    <xf numFmtId="0" fontId="31" fillId="0" borderId="19" xfId="0" applyFont="1" applyBorder="1" applyProtection="1">
      <protection locked="0"/>
    </xf>
    <xf numFmtId="0" fontId="26" fillId="10" borderId="18" xfId="2" applyBorder="1" applyAlignment="1" applyProtection="1">
      <alignment horizontal="left"/>
      <protection locked="0"/>
    </xf>
    <xf numFmtId="0" fontId="0" fillId="0" borderId="0" xfId="0" applyAlignment="1" applyProtection="1">
      <alignment horizontal="left"/>
      <protection locked="0"/>
    </xf>
    <xf numFmtId="2" fontId="14" fillId="0" borderId="2" xfId="0" applyNumberFormat="1" applyFont="1" applyBorder="1" applyProtection="1">
      <protection locked="0"/>
    </xf>
    <xf numFmtId="2" fontId="26" fillId="10" borderId="16" xfId="2" applyNumberFormat="1" applyAlignment="1" applyProtection="1">
      <alignment horizontal="left" vertical="center"/>
      <protection locked="0"/>
    </xf>
    <xf numFmtId="2" fontId="0" fillId="0" borderId="0" xfId="0" applyNumberFormat="1" applyAlignment="1" applyProtection="1">
      <alignment horizontal="center"/>
      <protection locked="0"/>
    </xf>
    <xf numFmtId="2" fontId="0" fillId="0" borderId="0" xfId="0" applyNumberFormat="1" applyProtection="1">
      <protection locked="0"/>
    </xf>
    <xf numFmtId="2" fontId="31" fillId="0" borderId="19" xfId="0" applyNumberFormat="1" applyFont="1" applyBorder="1" applyProtection="1">
      <protection locked="0"/>
    </xf>
    <xf numFmtId="1" fontId="26" fillId="10" borderId="18" xfId="2" applyNumberFormat="1" applyBorder="1" applyAlignment="1" applyProtection="1">
      <alignment horizontal="left"/>
      <protection locked="0"/>
    </xf>
    <xf numFmtId="2" fontId="14" fillId="0" borderId="19" xfId="0" applyNumberFormat="1" applyFont="1" applyBorder="1" applyProtection="1">
      <protection locked="0"/>
    </xf>
    <xf numFmtId="2" fontId="26" fillId="10" borderId="18" xfId="2" applyNumberFormat="1" applyBorder="1" applyAlignment="1" applyProtection="1">
      <alignment horizontal="left"/>
      <protection locked="0"/>
    </xf>
    <xf numFmtId="2" fontId="31" fillId="0" borderId="2" xfId="0" applyNumberFormat="1" applyFont="1" applyBorder="1" applyProtection="1">
      <protection locked="0"/>
    </xf>
    <xf numFmtId="1" fontId="26" fillId="10" borderId="20" xfId="2" applyNumberFormat="1" applyBorder="1" applyAlignment="1" applyProtection="1">
      <alignment horizontal="left"/>
      <protection locked="0"/>
    </xf>
    <xf numFmtId="0" fontId="0" fillId="0" borderId="0" xfId="0" applyFill="1" applyProtection="1">
      <protection locked="0"/>
    </xf>
    <xf numFmtId="0" fontId="14" fillId="0" borderId="2" xfId="0" applyFont="1" applyBorder="1" applyAlignment="1" applyProtection="1">
      <alignment vertical="center"/>
      <protection locked="0"/>
    </xf>
    <xf numFmtId="0" fontId="14" fillId="0" borderId="2" xfId="0" applyFont="1" applyBorder="1" applyAlignment="1" applyProtection="1">
      <alignment horizontal="left" vertical="center"/>
      <protection locked="0"/>
    </xf>
    <xf numFmtId="0" fontId="26" fillId="10" borderId="16" xfId="2" applyAlignment="1" applyProtection="1">
      <alignment horizontal="left" vertical="center" wrapText="1"/>
      <protection locked="0"/>
    </xf>
    <xf numFmtId="2" fontId="31" fillId="0" borderId="2" xfId="0" applyNumberFormat="1" applyFont="1" applyBorder="1" applyAlignment="1" applyProtection="1">
      <alignment vertical="center"/>
      <protection locked="0"/>
    </xf>
    <xf numFmtId="1" fontId="26" fillId="10" borderId="20" xfId="2" applyNumberFormat="1" applyBorder="1" applyAlignment="1" applyProtection="1">
      <alignment horizontal="left" vertical="center"/>
      <protection locked="0"/>
    </xf>
    <xf numFmtId="1" fontId="26" fillId="10" borderId="16" xfId="2" applyNumberFormat="1" applyAlignment="1" applyProtection="1">
      <alignment horizontal="left" vertical="center"/>
      <protection locked="0"/>
    </xf>
    <xf numFmtId="2" fontId="0" fillId="0" borderId="0" xfId="0" applyNumberFormat="1" applyFill="1" applyProtection="1">
      <protection locked="0"/>
    </xf>
    <xf numFmtId="0" fontId="14" fillId="0" borderId="2" xfId="0" applyFont="1" applyFill="1" applyBorder="1" applyProtection="1">
      <protection locked="0"/>
    </xf>
    <xf numFmtId="2" fontId="0" fillId="0" borderId="0" xfId="0" applyNumberFormat="1" applyAlignment="1" applyProtection="1">
      <alignment horizontal="center" vertical="center"/>
      <protection locked="0"/>
    </xf>
    <xf numFmtId="2" fontId="30" fillId="0" borderId="0" xfId="0" applyNumberFormat="1" applyFont="1" applyFill="1" applyBorder="1" applyProtection="1">
      <protection locked="0"/>
    </xf>
    <xf numFmtId="0" fontId="27" fillId="0" borderId="0" xfId="0" applyFont="1" applyProtection="1">
      <protection locked="0"/>
    </xf>
    <xf numFmtId="0" fontId="28" fillId="0" borderId="0" xfId="0" applyFont="1" applyProtection="1">
      <protection locked="0"/>
    </xf>
    <xf numFmtId="0" fontId="21" fillId="0" borderId="0" xfId="0" applyFont="1" applyProtection="1">
      <protection locked="0"/>
    </xf>
    <xf numFmtId="2" fontId="3" fillId="2" borderId="42" xfId="0" applyNumberFormat="1" applyFont="1" applyFill="1" applyBorder="1"/>
    <xf numFmtId="2" fontId="3" fillId="2" borderId="43" xfId="0" applyNumberFormat="1" applyFont="1" applyFill="1" applyBorder="1" applyAlignment="1">
      <alignment horizontal="center"/>
    </xf>
    <xf numFmtId="2" fontId="0" fillId="11" borderId="10" xfId="0" applyNumberFormat="1" applyFont="1" applyFill="1" applyBorder="1"/>
    <xf numFmtId="1" fontId="26" fillId="10" borderId="44" xfId="2" applyNumberFormat="1" applyFont="1" applyFill="1" applyBorder="1" applyAlignment="1">
      <alignment horizontal="center" vertical="center"/>
      <protection locked="0"/>
    </xf>
    <xf numFmtId="2" fontId="0" fillId="11" borderId="34" xfId="0" applyNumberFormat="1" applyFont="1" applyFill="1" applyBorder="1"/>
    <xf numFmtId="2" fontId="3" fillId="12" borderId="42" xfId="0" applyNumberFormat="1" applyFont="1" applyFill="1" applyBorder="1"/>
    <xf numFmtId="2" fontId="3" fillId="12" borderId="43" xfId="0" applyNumberFormat="1" applyFont="1" applyFill="1" applyBorder="1" applyAlignment="1">
      <alignment horizontal="center"/>
    </xf>
    <xf numFmtId="2" fontId="0" fillId="13" borderId="45" xfId="0" applyNumberFormat="1" applyFont="1" applyFill="1" applyBorder="1"/>
    <xf numFmtId="2" fontId="0" fillId="13" borderId="34" xfId="0" applyNumberFormat="1" applyFont="1" applyFill="1" applyBorder="1"/>
    <xf numFmtId="2" fontId="0" fillId="13" borderId="46" xfId="0" applyNumberFormat="1" applyFont="1" applyFill="1" applyBorder="1"/>
    <xf numFmtId="1" fontId="26" fillId="10" borderId="47" xfId="2" applyNumberFormat="1" applyFont="1" applyFill="1" applyBorder="1" applyAlignment="1">
      <alignment horizontal="center" vertical="center"/>
      <protection locked="0"/>
    </xf>
    <xf numFmtId="2" fontId="10" fillId="14" borderId="34" xfId="0" applyNumberFormat="1" applyFont="1" applyFill="1" applyBorder="1"/>
    <xf numFmtId="164" fontId="3" fillId="14" borderId="22" xfId="0" applyNumberFormat="1" applyFont="1" applyFill="1" applyBorder="1" applyAlignment="1">
      <alignment horizontal="center" vertical="center"/>
    </xf>
    <xf numFmtId="2" fontId="0" fillId="15" borderId="34" xfId="0" applyNumberFormat="1" applyFont="1" applyFill="1" applyBorder="1"/>
    <xf numFmtId="2" fontId="26" fillId="10" borderId="28" xfId="2" applyNumberFormat="1" applyFont="1" applyFill="1" applyBorder="1" applyAlignment="1">
      <alignment horizontal="center" vertical="center"/>
      <protection locked="0"/>
    </xf>
    <xf numFmtId="2" fontId="0" fillId="15" borderId="46" xfId="0" applyNumberFormat="1" applyFont="1" applyFill="1" applyBorder="1"/>
    <xf numFmtId="0" fontId="38" fillId="3" borderId="42" xfId="0" applyFont="1" applyFill="1" applyBorder="1"/>
    <xf numFmtId="2" fontId="3" fillId="3" borderId="42" xfId="0" applyNumberFormat="1" applyFont="1" applyFill="1" applyBorder="1" applyAlignment="1">
      <alignment horizontal="center"/>
    </xf>
    <xf numFmtId="2" fontId="3" fillId="3" borderId="48" xfId="0" applyNumberFormat="1" applyFont="1" applyFill="1" applyBorder="1" applyAlignment="1">
      <alignment horizontal="center"/>
    </xf>
    <xf numFmtId="2" fontId="4" fillId="4" borderId="42" xfId="0" applyNumberFormat="1" applyFont="1" applyFill="1" applyBorder="1"/>
    <xf numFmtId="2" fontId="4" fillId="0" borderId="14" xfId="0" applyNumberFormat="1" applyFont="1" applyBorder="1"/>
    <xf numFmtId="166" fontId="3" fillId="2" borderId="0" xfId="0" applyNumberFormat="1" applyFont="1" applyFill="1" applyBorder="1"/>
    <xf numFmtId="49" fontId="3" fillId="2" borderId="15" xfId="0" applyNumberFormat="1" applyFont="1" applyFill="1" applyBorder="1" applyAlignment="1">
      <alignment horizontal="center"/>
    </xf>
    <xf numFmtId="0" fontId="0" fillId="16" borderId="17" xfId="0" applyFont="1" applyFill="1" applyBorder="1"/>
    <xf numFmtId="0" fontId="0" fillId="16" borderId="26" xfId="0" applyFont="1" applyFill="1" applyBorder="1" applyAlignment="1">
      <alignment horizontal="center" vertical="center"/>
    </xf>
    <xf numFmtId="0" fontId="0" fillId="11" borderId="23" xfId="0" applyFont="1" applyFill="1" applyBorder="1"/>
    <xf numFmtId="0" fontId="0" fillId="11" borderId="22" xfId="0" applyFont="1" applyFill="1" applyBorder="1" applyAlignment="1">
      <alignment horizontal="center" vertical="center"/>
    </xf>
    <xf numFmtId="0" fontId="0" fillId="16" borderId="23" xfId="0" applyFont="1" applyFill="1" applyBorder="1"/>
    <xf numFmtId="0" fontId="0" fillId="16" borderId="22" xfId="0" applyFont="1" applyFill="1" applyBorder="1" applyAlignment="1">
      <alignment horizontal="center" vertical="center"/>
    </xf>
    <xf numFmtId="0" fontId="0" fillId="11" borderId="23" xfId="0" applyFont="1" applyFill="1" applyBorder="1" applyAlignment="1">
      <alignment vertical="top"/>
    </xf>
    <xf numFmtId="167" fontId="0" fillId="16" borderId="26" xfId="0" applyNumberFormat="1" applyFont="1" applyFill="1" applyBorder="1" applyAlignment="1">
      <alignment horizontal="center" vertical="center"/>
    </xf>
    <xf numFmtId="167" fontId="0" fillId="11" borderId="22" xfId="0" applyNumberFormat="1" applyFont="1" applyFill="1" applyBorder="1" applyAlignment="1">
      <alignment horizontal="center" vertical="center"/>
    </xf>
    <xf numFmtId="167" fontId="0" fillId="16" borderId="22" xfId="0" applyNumberFormat="1" applyFont="1" applyFill="1" applyBorder="1" applyAlignment="1">
      <alignment horizontal="center" vertical="center"/>
    </xf>
    <xf numFmtId="0" fontId="9" fillId="3" borderId="42" xfId="0" applyFont="1" applyFill="1" applyBorder="1"/>
    <xf numFmtId="0" fontId="9" fillId="3" borderId="48" xfId="0" applyFont="1" applyFill="1" applyBorder="1" applyAlignment="1">
      <alignment horizontal="center"/>
    </xf>
    <xf numFmtId="0" fontId="0" fillId="4" borderId="42" xfId="0" applyFont="1" applyFill="1" applyBorder="1"/>
    <xf numFmtId="0" fontId="0" fillId="4" borderId="48" xfId="0" applyFont="1" applyFill="1" applyBorder="1" applyAlignment="1">
      <alignment horizontal="center"/>
    </xf>
    <xf numFmtId="0" fontId="0" fillId="0" borderId="12" xfId="0" applyFont="1" applyBorder="1" applyAlignment="1">
      <alignment vertical="top"/>
    </xf>
    <xf numFmtId="0" fontId="0" fillId="0" borderId="13" xfId="0" applyFont="1" applyBorder="1" applyAlignment="1">
      <alignment horizontal="left" vertical="top" wrapText="1"/>
    </xf>
    <xf numFmtId="0" fontId="0" fillId="4" borderId="12" xfId="0" applyFont="1" applyFill="1" applyBorder="1" applyAlignment="1">
      <alignment wrapText="1"/>
    </xf>
    <xf numFmtId="0" fontId="0" fillId="4" borderId="14" xfId="0" applyFont="1" applyFill="1" applyBorder="1" applyAlignment="1">
      <alignment wrapText="1"/>
    </xf>
    <xf numFmtId="0" fontId="0" fillId="4" borderId="9" xfId="0" applyFont="1" applyFill="1" applyBorder="1" applyAlignment="1">
      <alignment horizontal="center" vertical="center"/>
    </xf>
    <xf numFmtId="0" fontId="0" fillId="0" borderId="12" xfId="0" applyFont="1" applyBorder="1" applyAlignment="1">
      <alignment wrapText="1"/>
    </xf>
    <xf numFmtId="0" fontId="0" fillId="0" borderId="13" xfId="0" applyFont="1" applyBorder="1" applyAlignment="1">
      <alignment horizontal="center" vertical="center"/>
    </xf>
    <xf numFmtId="0" fontId="0" fillId="4" borderId="50" xfId="0" applyFont="1" applyFill="1" applyBorder="1" applyAlignment="1">
      <alignment wrapText="1"/>
    </xf>
    <xf numFmtId="0" fontId="0" fillId="4" borderId="49" xfId="0" applyFont="1" applyFill="1" applyBorder="1" applyAlignment="1">
      <alignment horizontal="center" vertical="center"/>
    </xf>
    <xf numFmtId="0" fontId="0" fillId="4" borderId="51" xfId="0" applyFont="1" applyFill="1" applyBorder="1" applyAlignment="1">
      <alignment wrapText="1"/>
    </xf>
    <xf numFmtId="0" fontId="0" fillId="4" borderId="52" xfId="0" applyFont="1" applyFill="1" applyBorder="1" applyAlignment="1">
      <alignment horizontal="center" vertical="center"/>
    </xf>
    <xf numFmtId="0" fontId="0" fillId="0" borderId="14" xfId="0" applyFont="1" applyBorder="1"/>
    <xf numFmtId="0" fontId="0" fillId="0" borderId="9" xfId="0" applyFont="1" applyBorder="1" applyAlignment="1">
      <alignment horizontal="center"/>
    </xf>
    <xf numFmtId="0" fontId="0" fillId="4" borderId="42" xfId="0" applyFont="1" applyFill="1" applyBorder="1" applyAlignment="1">
      <alignment wrapText="1"/>
    </xf>
    <xf numFmtId="2" fontId="35" fillId="4" borderId="42" xfId="4" applyNumberFormat="1" applyFont="1" applyFill="1" applyBorder="1" applyAlignment="1">
      <alignment horizontal="center" wrapText="1"/>
    </xf>
    <xf numFmtId="2" fontId="35" fillId="4" borderId="48" xfId="4" applyNumberFormat="1" applyFont="1" applyFill="1" applyBorder="1" applyAlignment="1">
      <alignment horizontal="center" wrapText="1"/>
    </xf>
    <xf numFmtId="2" fontId="35" fillId="0" borderId="12" xfId="4" applyNumberFormat="1" applyFont="1" applyBorder="1" applyAlignment="1">
      <alignment horizontal="center" wrapText="1"/>
    </xf>
    <xf numFmtId="2" fontId="35" fillId="0" borderId="13" xfId="4" applyNumberFormat="1" applyFont="1" applyBorder="1" applyAlignment="1">
      <alignment horizontal="center" wrapText="1"/>
    </xf>
    <xf numFmtId="2" fontId="35" fillId="4" borderId="12" xfId="4" applyNumberFormat="1" applyFont="1" applyFill="1" applyBorder="1" applyAlignment="1">
      <alignment horizontal="center" wrapText="1"/>
    </xf>
    <xf numFmtId="2" fontId="35" fillId="4" borderId="13" xfId="4" applyNumberFormat="1" applyFont="1" applyFill="1" applyBorder="1" applyAlignment="1">
      <alignment horizontal="center" wrapText="1"/>
    </xf>
    <xf numFmtId="2" fontId="35" fillId="0" borderId="14" xfId="4" applyNumberFormat="1" applyFont="1" applyBorder="1" applyAlignment="1">
      <alignment horizontal="center" wrapText="1"/>
    </xf>
    <xf numFmtId="2" fontId="35" fillId="0" borderId="9" xfId="4" applyNumberFormat="1" applyFont="1" applyBorder="1" applyAlignment="1">
      <alignment horizontal="center" wrapText="1"/>
    </xf>
    <xf numFmtId="164" fontId="29" fillId="4" borderId="42" xfId="0" applyNumberFormat="1" applyFont="1" applyFill="1" applyBorder="1" applyAlignment="1">
      <alignment vertical="center"/>
    </xf>
    <xf numFmtId="164" fontId="29" fillId="0" borderId="14" xfId="1" applyNumberFormat="1" applyFont="1" applyBorder="1" applyAlignment="1">
      <alignment vertical="center"/>
    </xf>
    <xf numFmtId="2" fontId="41" fillId="21" borderId="48" xfId="4" applyNumberFormat="1" applyFont="1" applyFill="1" applyBorder="1" applyAlignment="1">
      <alignment horizontal="center" wrapText="1"/>
    </xf>
    <xf numFmtId="2" fontId="41" fillId="22" borderId="13" xfId="4" applyNumberFormat="1" applyFont="1" applyFill="1" applyBorder="1" applyAlignment="1">
      <alignment horizontal="center" wrapText="1"/>
    </xf>
    <xf numFmtId="2" fontId="41" fillId="21" borderId="13" xfId="4" applyNumberFormat="1" applyFont="1" applyFill="1" applyBorder="1" applyAlignment="1">
      <alignment horizontal="center" wrapText="1"/>
    </xf>
    <xf numFmtId="2" fontId="41" fillId="22" borderId="9" xfId="4" applyNumberFormat="1" applyFont="1" applyFill="1" applyBorder="1" applyAlignment="1">
      <alignment horizontal="center" wrapText="1"/>
    </xf>
    <xf numFmtId="0" fontId="26" fillId="10" borderId="21" xfId="2" applyBorder="1" applyAlignment="1">
      <alignment horizontal="left" wrapText="1"/>
      <protection locked="0"/>
    </xf>
    <xf numFmtId="0" fontId="26" fillId="10" borderId="16" xfId="2" applyAlignment="1">
      <alignment horizontal="left" wrapText="1"/>
      <protection locked="0"/>
    </xf>
    <xf numFmtId="2" fontId="4" fillId="8" borderId="22" xfId="1" applyNumberFormat="1" applyFont="1" applyFill="1" applyBorder="1" applyAlignment="1">
      <alignment horizontal="center"/>
    </xf>
    <xf numFmtId="2" fontId="0" fillId="16" borderId="29" xfId="0" applyNumberFormat="1" applyFont="1" applyFill="1" applyBorder="1" applyAlignment="1">
      <alignment horizontal="center" vertical="center"/>
    </xf>
    <xf numFmtId="2" fontId="4" fillId="9" borderId="3" xfId="1" applyNumberFormat="1" applyFont="1" applyFill="1" applyBorder="1" applyAlignment="1">
      <alignment horizontal="center" vertical="center"/>
    </xf>
    <xf numFmtId="2" fontId="4" fillId="9" borderId="22" xfId="1" applyNumberFormat="1" applyFont="1" applyFill="1" applyBorder="1" applyAlignment="1">
      <alignment horizontal="center" vertical="center"/>
    </xf>
    <xf numFmtId="2" fontId="0" fillId="13" borderId="33" xfId="0" applyNumberFormat="1" applyFont="1" applyFill="1" applyBorder="1" applyAlignment="1">
      <alignment horizontal="center" vertical="center"/>
    </xf>
    <xf numFmtId="2" fontId="4" fillId="7" borderId="22" xfId="0" applyNumberFormat="1" applyFont="1" applyFill="1" applyBorder="1" applyAlignment="1">
      <alignment horizontal="center" vertical="center"/>
    </xf>
    <xf numFmtId="164" fontId="2" fillId="17" borderId="26" xfId="0" applyNumberFormat="1" applyFont="1" applyFill="1" applyBorder="1" applyAlignment="1">
      <alignment horizontal="center" vertical="center"/>
    </xf>
    <xf numFmtId="2" fontId="3" fillId="12" borderId="15" xfId="0" applyNumberFormat="1" applyFont="1" applyFill="1" applyBorder="1" applyAlignment="1">
      <alignment horizontal="center" vertical="center"/>
    </xf>
    <xf numFmtId="2" fontId="3" fillId="12" borderId="4" xfId="0" applyNumberFormat="1" applyFont="1" applyFill="1" applyBorder="1" applyAlignment="1">
      <alignment horizontal="center" vertical="center"/>
    </xf>
    <xf numFmtId="0" fontId="0" fillId="0" borderId="0" xfId="0" applyAlignment="1">
      <alignment horizontal="center" vertical="center"/>
    </xf>
    <xf numFmtId="164" fontId="3" fillId="14" borderId="39" xfId="0" applyNumberFormat="1" applyFont="1" applyFill="1" applyBorder="1" applyAlignment="1">
      <alignment horizontal="right" vertical="center"/>
    </xf>
    <xf numFmtId="2" fontId="4" fillId="9" borderId="38" xfId="1" applyNumberFormat="1" applyFont="1" applyFill="1" applyBorder="1" applyAlignment="1">
      <alignment horizontal="center" vertical="center"/>
    </xf>
    <xf numFmtId="2" fontId="4" fillId="9" borderId="24" xfId="1"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4" fillId="7" borderId="22" xfId="1" applyNumberFormat="1" applyFont="1" applyFill="1" applyBorder="1" applyAlignment="1">
      <alignment horizontal="center"/>
    </xf>
    <xf numFmtId="1" fontId="2" fillId="0" borderId="14" xfId="1" applyNumberFormat="1" applyFont="1" applyBorder="1" applyAlignment="1">
      <alignment horizontal="center"/>
    </xf>
    <xf numFmtId="1" fontId="2" fillId="0" borderId="9" xfId="1" applyNumberFormat="1" applyFont="1" applyBorder="1" applyAlignment="1">
      <alignment horizontal="center"/>
    </xf>
    <xf numFmtId="1" fontId="4" fillId="8" borderId="30" xfId="1" applyNumberFormat="1" applyFont="1" applyFill="1" applyBorder="1" applyAlignment="1">
      <alignment horizontal="center" vertical="center"/>
    </xf>
    <xf numFmtId="0" fontId="9" fillId="3" borderId="48" xfId="0" applyFont="1" applyFill="1" applyBorder="1" applyAlignment="1">
      <alignment horizontal="left"/>
    </xf>
    <xf numFmtId="0" fontId="4" fillId="13" borderId="42" xfId="0" applyFont="1" applyFill="1" applyBorder="1" applyAlignment="1">
      <alignment vertical="center"/>
    </xf>
    <xf numFmtId="0" fontId="39" fillId="13" borderId="53" xfId="4" applyNumberFormat="1" applyFont="1" applyFill="1" applyBorder="1" applyAlignment="1">
      <alignment horizontal="center" vertical="center"/>
    </xf>
    <xf numFmtId="0" fontId="39" fillId="13" borderId="54" xfId="4" applyNumberFormat="1" applyFont="1" applyFill="1" applyBorder="1" applyAlignment="1">
      <alignment horizontal="center" vertical="center"/>
    </xf>
    <xf numFmtId="0" fontId="39" fillId="19" borderId="60" xfId="4" applyNumberFormat="1" applyFont="1" applyFill="1" applyBorder="1" applyAlignment="1">
      <alignment horizontal="center" vertical="center"/>
    </xf>
    <xf numFmtId="0" fontId="0" fillId="17" borderId="55" xfId="0" applyFont="1" applyFill="1" applyBorder="1" applyAlignment="1"/>
    <xf numFmtId="168" fontId="35" fillId="17" borderId="56" xfId="4" applyNumberFormat="1" applyFont="1" applyFill="1" applyBorder="1" applyAlignment="1">
      <alignment horizontal="center"/>
    </xf>
    <xf numFmtId="168" fontId="35" fillId="17" borderId="57" xfId="4" applyNumberFormat="1" applyFont="1" applyFill="1" applyBorder="1" applyAlignment="1">
      <alignment horizontal="center"/>
    </xf>
    <xf numFmtId="168" fontId="41" fillId="20" borderId="61" xfId="4" applyNumberFormat="1" applyFont="1" applyFill="1" applyBorder="1" applyAlignment="1">
      <alignment horizontal="center"/>
    </xf>
    <xf numFmtId="0" fontId="0" fillId="13" borderId="55" xfId="0" applyFont="1" applyFill="1" applyBorder="1" applyAlignment="1"/>
    <xf numFmtId="168" fontId="35" fillId="13" borderId="56" xfId="4" applyNumberFormat="1" applyFont="1" applyFill="1" applyBorder="1" applyAlignment="1">
      <alignment horizontal="center"/>
    </xf>
    <xf numFmtId="168" fontId="35" fillId="13" borderId="57" xfId="4" applyNumberFormat="1" applyFont="1" applyFill="1" applyBorder="1" applyAlignment="1">
      <alignment horizontal="center"/>
    </xf>
    <xf numFmtId="168" fontId="41" fillId="19" borderId="57" xfId="4" applyNumberFormat="1" applyFont="1" applyFill="1" applyBorder="1" applyAlignment="1">
      <alignment horizontal="center"/>
    </xf>
    <xf numFmtId="168" fontId="41" fillId="20" borderId="57" xfId="4" applyNumberFormat="1" applyFont="1" applyFill="1" applyBorder="1" applyAlignment="1">
      <alignment horizontal="center"/>
    </xf>
    <xf numFmtId="0" fontId="0" fillId="13" borderId="0" xfId="0" applyFont="1" applyFill="1" applyBorder="1" applyAlignment="1"/>
    <xf numFmtId="168" fontId="35" fillId="13" borderId="0" xfId="4" applyNumberFormat="1" applyFont="1" applyFill="1" applyBorder="1" applyAlignment="1">
      <alignment horizontal="center"/>
    </xf>
    <xf numFmtId="168" fontId="41" fillId="19" borderId="0" xfId="4" applyNumberFormat="1" applyFont="1" applyFill="1" applyBorder="1" applyAlignment="1">
      <alignment horizontal="center"/>
    </xf>
    <xf numFmtId="0" fontId="0" fillId="17" borderId="58" xfId="0" applyFont="1" applyFill="1" applyBorder="1" applyAlignment="1"/>
    <xf numFmtId="168" fontId="35" fillId="17" borderId="59" xfId="4" applyNumberFormat="1" applyFont="1" applyFill="1" applyBorder="1" applyAlignment="1">
      <alignment horizontal="center"/>
    </xf>
    <xf numFmtId="168" fontId="41" fillId="20" borderId="59" xfId="4" applyNumberFormat="1" applyFont="1" applyFill="1" applyBorder="1" applyAlignment="1">
      <alignment horizontal="center"/>
    </xf>
    <xf numFmtId="0" fontId="9" fillId="3" borderId="42" xfId="0" applyFont="1" applyFill="1" applyBorder="1" applyAlignment="1">
      <alignment vertical="center"/>
    </xf>
    <xf numFmtId="0" fontId="40" fillId="3" borderId="42" xfId="4" applyNumberFormat="1" applyFont="1" applyFill="1" applyBorder="1" applyAlignment="1">
      <alignment horizontal="center" vertical="center"/>
    </xf>
    <xf numFmtId="0" fontId="40" fillId="3" borderId="48" xfId="4" applyNumberFormat="1" applyFont="1" applyFill="1" applyBorder="1" applyAlignment="1">
      <alignment horizontal="center" vertical="center"/>
    </xf>
    <xf numFmtId="164" fontId="29" fillId="4" borderId="48" xfId="1" applyNumberFormat="1" applyFont="1" applyFill="1" applyBorder="1" applyAlignment="1">
      <alignment horizontal="center" vertical="center"/>
    </xf>
    <xf numFmtId="164" fontId="29" fillId="0" borderId="9" xfId="1" applyNumberFormat="1" applyFont="1" applyBorder="1" applyAlignment="1">
      <alignment horizontal="center" vertical="center"/>
    </xf>
    <xf numFmtId="0" fontId="0" fillId="0" borderId="0" xfId="0" applyProtection="1">
      <protection locked="0"/>
    </xf>
    <xf numFmtId="169" fontId="0" fillId="4" borderId="13" xfId="0" applyNumberFormat="1" applyFont="1" applyFill="1" applyBorder="1" applyAlignment="1">
      <alignment horizontal="center"/>
    </xf>
    <xf numFmtId="169" fontId="0" fillId="0" borderId="13" xfId="0" applyNumberFormat="1" applyFont="1" applyBorder="1" applyAlignment="1">
      <alignment horizontal="center"/>
    </xf>
    <xf numFmtId="169" fontId="0" fillId="4" borderId="9" xfId="0" applyNumberFormat="1" applyFont="1" applyFill="1" applyBorder="1" applyAlignment="1">
      <alignment horizontal="center" vertical="center"/>
    </xf>
    <xf numFmtId="2" fontId="0" fillId="11" borderId="62" xfId="0" applyNumberFormat="1" applyFont="1" applyFill="1" applyBorder="1"/>
    <xf numFmtId="1" fontId="2" fillId="11" borderId="63" xfId="0" applyNumberFormat="1" applyFont="1" applyFill="1" applyBorder="1" applyAlignment="1">
      <alignment horizontal="center" vertical="center"/>
    </xf>
    <xf numFmtId="0" fontId="0" fillId="0" borderId="0" xfId="0" applyFont="1" applyFill="1" applyBorder="1"/>
    <xf numFmtId="1" fontId="26" fillId="0" borderId="0" xfId="2" applyNumberFormat="1" applyFont="1" applyFill="1" applyBorder="1" applyAlignment="1">
      <alignment horizontal="center" vertical="center"/>
      <protection locked="0"/>
    </xf>
    <xf numFmtId="2" fontId="0" fillId="11" borderId="64" xfId="0" applyNumberFormat="1" applyFont="1" applyFill="1" applyBorder="1"/>
    <xf numFmtId="2" fontId="0" fillId="11" borderId="65" xfId="0" applyNumberFormat="1" applyFont="1" applyFill="1" applyBorder="1" applyAlignment="1">
      <alignment vertical="top"/>
    </xf>
    <xf numFmtId="170" fontId="4" fillId="9" borderId="3" xfId="0" applyNumberFormat="1" applyFont="1" applyFill="1" applyBorder="1" applyAlignment="1">
      <alignment horizontal="center" vertical="center"/>
    </xf>
    <xf numFmtId="168" fontId="0" fillId="16" borderId="22" xfId="0" applyNumberFormat="1" applyFont="1" applyFill="1" applyBorder="1" applyAlignment="1">
      <alignment horizontal="center" vertical="center"/>
    </xf>
    <xf numFmtId="0" fontId="26" fillId="10" borderId="16" xfId="2" applyAlignment="1" applyProtection="1">
      <alignment horizontal="left" vertical="top" wrapText="1"/>
      <protection locked="0"/>
    </xf>
    <xf numFmtId="0" fontId="26" fillId="10" borderId="16" xfId="2" applyAlignment="1" applyProtection="1">
      <alignment horizontal="left" vertical="center"/>
      <protection locked="0"/>
    </xf>
    <xf numFmtId="2" fontId="26" fillId="10" borderId="20" xfId="2" applyNumberFormat="1" applyBorder="1" applyAlignment="1" applyProtection="1">
      <alignment horizontal="left" vertical="center"/>
      <protection locked="0"/>
    </xf>
    <xf numFmtId="165" fontId="4" fillId="9" borderId="8" xfId="1" applyNumberFormat="1" applyFont="1" applyFill="1" applyBorder="1" applyAlignment="1">
      <alignment horizontal="center" vertical="center"/>
    </xf>
    <xf numFmtId="2" fontId="2" fillId="4" borderId="34" xfId="0" applyNumberFormat="1" applyFont="1" applyFill="1" applyBorder="1" applyAlignment="1">
      <alignment horizontal="center"/>
    </xf>
    <xf numFmtId="2" fontId="2" fillId="4" borderId="36" xfId="0" applyNumberFormat="1" applyFont="1" applyFill="1" applyBorder="1" applyAlignment="1">
      <alignment horizontal="center"/>
    </xf>
    <xf numFmtId="2" fontId="2" fillId="4" borderId="34" xfId="0" applyNumberFormat="1" applyFont="1" applyFill="1" applyBorder="1" applyAlignment="1">
      <alignment horizontal="center" vertical="center"/>
    </xf>
    <xf numFmtId="2" fontId="2" fillId="4" borderId="36" xfId="0" applyNumberFormat="1" applyFont="1" applyFill="1" applyBorder="1" applyAlignment="1">
      <alignment horizontal="center" vertical="center"/>
    </xf>
    <xf numFmtId="2" fontId="2" fillId="0" borderId="14" xfId="1" applyNumberFormat="1" applyFont="1" applyBorder="1" applyAlignment="1">
      <alignment horizontal="center" vertical="center"/>
    </xf>
    <xf numFmtId="2" fontId="2" fillId="0" borderId="9" xfId="1" applyNumberFormat="1" applyFont="1" applyBorder="1" applyAlignment="1">
      <alignment horizontal="center" vertical="center"/>
    </xf>
    <xf numFmtId="1" fontId="26" fillId="10" borderId="66" xfId="2" applyNumberFormat="1" applyFont="1" applyFill="1" applyBorder="1" applyAlignment="1">
      <alignment horizontal="center" vertical="center"/>
      <protection locked="0"/>
    </xf>
    <xf numFmtId="1" fontId="26" fillId="10" borderId="67" xfId="2" applyNumberFormat="1" applyFont="1" applyFill="1" applyBorder="1" applyAlignment="1">
      <alignment horizontal="center" vertical="center"/>
      <protection locked="0"/>
    </xf>
    <xf numFmtId="1" fontId="26" fillId="10" borderId="68" xfId="2" applyNumberFormat="1" applyFont="1" applyFill="1" applyBorder="1" applyAlignment="1">
      <alignment horizontal="center" vertical="center"/>
      <protection locked="0"/>
    </xf>
    <xf numFmtId="164" fontId="3" fillId="14" borderId="69" xfId="0" applyNumberFormat="1" applyFont="1" applyFill="1" applyBorder="1" applyAlignment="1">
      <alignment horizontal="center" vertical="center"/>
    </xf>
    <xf numFmtId="2" fontId="3" fillId="12" borderId="70" xfId="0" applyNumberFormat="1" applyFont="1" applyFill="1" applyBorder="1" applyAlignment="1">
      <alignment horizontal="center"/>
    </xf>
    <xf numFmtId="2" fontId="3" fillId="2" borderId="70" xfId="0" applyNumberFormat="1" applyFont="1" applyFill="1" applyBorder="1" applyAlignment="1">
      <alignment horizontal="center"/>
    </xf>
    <xf numFmtId="2" fontId="0" fillId="16" borderId="26" xfId="0" applyNumberFormat="1" applyFont="1" applyFill="1" applyBorder="1" applyAlignment="1">
      <alignment horizontal="center" vertical="center"/>
    </xf>
    <xf numFmtId="0" fontId="33" fillId="0" borderId="0" xfId="3" applyFont="1" applyAlignment="1">
      <alignment horizontal="left" vertical="center" wrapText="1"/>
    </xf>
    <xf numFmtId="0" fontId="32" fillId="0" borderId="0" xfId="3" applyAlignment="1">
      <alignment horizontal="left" vertical="center" wrapText="1"/>
    </xf>
    <xf numFmtId="0" fontId="32" fillId="0" borderId="0" xfId="3" applyAlignment="1">
      <alignment wrapText="1"/>
    </xf>
    <xf numFmtId="0" fontId="0" fillId="0" borderId="0" xfId="0" applyAlignment="1">
      <alignment horizontal="left" wrapText="1"/>
    </xf>
    <xf numFmtId="0" fontId="2" fillId="0" borderId="1" xfId="0" applyFont="1" applyFill="1" applyBorder="1" applyAlignment="1" applyProtection="1">
      <alignment horizontal="left"/>
      <protection locked="0"/>
    </xf>
    <xf numFmtId="0" fontId="0" fillId="0" borderId="0" xfId="0" applyProtection="1">
      <protection locked="0"/>
    </xf>
    <xf numFmtId="0" fontId="0" fillId="0" borderId="0" xfId="0" applyAlignment="1" applyProtection="1">
      <alignment horizontal="left"/>
      <protection locked="0"/>
    </xf>
    <xf numFmtId="0" fontId="0" fillId="0" borderId="0" xfId="0" applyAlignment="1" applyProtection="1">
      <protection locked="0"/>
    </xf>
    <xf numFmtId="0" fontId="7" fillId="0" borderId="0" xfId="0" applyFont="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0" fontId="4" fillId="6" borderId="5" xfId="0" applyFont="1" applyFill="1" applyBorder="1" applyAlignment="1">
      <alignment horizontal="center"/>
    </xf>
    <xf numFmtId="0" fontId="4" fillId="6" borderId="6" xfId="0" applyFont="1" applyFill="1" applyBorder="1" applyAlignment="1">
      <alignment horizontal="center"/>
    </xf>
    <xf numFmtId="0" fontId="2" fillId="5" borderId="2" xfId="0" applyFont="1" applyFill="1" applyBorder="1" applyAlignment="1">
      <alignment horizontal="center"/>
    </xf>
    <xf numFmtId="0" fontId="2" fillId="7" borderId="5" xfId="0" applyFont="1" applyFill="1" applyBorder="1" applyAlignment="1">
      <alignment horizontal="center"/>
    </xf>
    <xf numFmtId="0" fontId="2" fillId="7" borderId="6" xfId="0" applyFont="1" applyFill="1" applyBorder="1" applyAlignment="1">
      <alignment horizontal="center"/>
    </xf>
  </cellXfs>
  <cellStyles count="6">
    <cellStyle name="Comma" xfId="1" builtinId="3"/>
    <cellStyle name="Hyperlink" xfId="5" builtinId="8"/>
    <cellStyle name="Input" xfId="2" builtinId="20" customBuiltin="1"/>
    <cellStyle name="Normal" xfId="0" builtinId="0"/>
    <cellStyle name="Normal 2" xfId="3"/>
    <cellStyle name="Normal_Sheet43" xfId="4"/>
  </cellStyles>
  <dxfs count="0"/>
  <tableStyles count="0" defaultTableStyle="TableStyleMedium15"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2.pd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37832</xdr:colOff>
      <xdr:row>75</xdr:row>
      <xdr:rowOff>11624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10632" cy="1429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2</xdr:col>
      <xdr:colOff>85725</xdr:colOff>
      <xdr:row>25</xdr:row>
      <xdr:rowOff>85725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5025" y="5124450"/>
          <a:ext cx="952500" cy="952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www.waterboards.ca.gov/waterrights/publications_forms/forms/docs/app_instruction_booklet.pdf" TargetMode="External"/><Relationship Id="rId7" Type="http://schemas.openxmlformats.org/officeDocument/2006/relationships/drawing" Target="../drawings/drawing2.xml"/><Relationship Id="rId2" Type="http://schemas.openxmlformats.org/officeDocument/2006/relationships/hyperlink" Target="http://www.waterboards.ca.gov/waterrights/publications_forms/forms/docs/app_instruction_booklet.pdf"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www.waterboards.ca.gov/water_issues/programs/conservation_portal/docs/2016feb/fs2216_dec_numbers.pdf" TargetMode="External"/><Relationship Id="rId4" Type="http://schemas.openxmlformats.org/officeDocument/2006/relationships/hyperlink" Target="http://www.water.ca.gov/landwateruse/anlwuest.cf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L32"/>
  <sheetViews>
    <sheetView tabSelected="1" workbookViewId="0">
      <selection activeCell="U18" sqref="U18"/>
    </sheetView>
  </sheetViews>
  <sheetFormatPr defaultRowHeight="15" x14ac:dyDescent="0.25"/>
  <sheetData>
    <row r="2" spans="2:9" x14ac:dyDescent="0.25">
      <c r="B2" s="315" t="s">
        <v>167</v>
      </c>
      <c r="C2" s="316"/>
      <c r="D2" s="316"/>
      <c r="E2" s="316"/>
      <c r="F2" s="316"/>
      <c r="G2" s="316"/>
      <c r="H2" s="316"/>
      <c r="I2" s="317"/>
    </row>
    <row r="3" spans="2:9" x14ac:dyDescent="0.25">
      <c r="B3" s="316"/>
      <c r="C3" s="316"/>
      <c r="D3" s="316"/>
      <c r="E3" s="316"/>
      <c r="F3" s="316"/>
      <c r="G3" s="316"/>
      <c r="H3" s="316"/>
      <c r="I3" s="317"/>
    </row>
    <row r="4" spans="2:9" x14ac:dyDescent="0.25">
      <c r="B4" s="316"/>
      <c r="C4" s="316"/>
      <c r="D4" s="316"/>
      <c r="E4" s="316"/>
      <c r="F4" s="316"/>
      <c r="G4" s="316"/>
      <c r="H4" s="316"/>
      <c r="I4" s="317"/>
    </row>
    <row r="5" spans="2:9" x14ac:dyDescent="0.25">
      <c r="B5" s="316"/>
      <c r="C5" s="316"/>
      <c r="D5" s="316"/>
      <c r="E5" s="316"/>
      <c r="F5" s="316"/>
      <c r="G5" s="316"/>
      <c r="H5" s="316"/>
      <c r="I5" s="317"/>
    </row>
    <row r="6" spans="2:9" x14ac:dyDescent="0.25">
      <c r="B6" s="316"/>
      <c r="C6" s="316"/>
      <c r="D6" s="316"/>
      <c r="E6" s="316"/>
      <c r="F6" s="316"/>
      <c r="G6" s="316"/>
      <c r="H6" s="316"/>
      <c r="I6" s="317"/>
    </row>
    <row r="7" spans="2:9" x14ac:dyDescent="0.25">
      <c r="B7" s="316"/>
      <c r="C7" s="316"/>
      <c r="D7" s="316"/>
      <c r="E7" s="316"/>
      <c r="F7" s="316"/>
      <c r="G7" s="316"/>
      <c r="H7" s="316"/>
      <c r="I7" s="317"/>
    </row>
    <row r="8" spans="2:9" x14ac:dyDescent="0.25">
      <c r="B8" s="316"/>
      <c r="C8" s="316"/>
      <c r="D8" s="316"/>
      <c r="E8" s="316"/>
      <c r="F8" s="316"/>
      <c r="G8" s="316"/>
      <c r="H8" s="316"/>
      <c r="I8" s="317"/>
    </row>
    <row r="9" spans="2:9" x14ac:dyDescent="0.25">
      <c r="B9" s="316"/>
      <c r="C9" s="316"/>
      <c r="D9" s="316"/>
      <c r="E9" s="316"/>
      <c r="F9" s="316"/>
      <c r="G9" s="316"/>
      <c r="H9" s="316"/>
      <c r="I9" s="317"/>
    </row>
    <row r="10" spans="2:9" x14ac:dyDescent="0.25">
      <c r="B10" s="316"/>
      <c r="C10" s="316"/>
      <c r="D10" s="316"/>
      <c r="E10" s="316"/>
      <c r="F10" s="316"/>
      <c r="G10" s="316"/>
      <c r="H10" s="316"/>
      <c r="I10" s="317"/>
    </row>
    <row r="11" spans="2:9" x14ac:dyDescent="0.25">
      <c r="B11" s="316"/>
      <c r="C11" s="316"/>
      <c r="D11" s="316"/>
      <c r="E11" s="316"/>
      <c r="F11" s="316"/>
      <c r="G11" s="316"/>
      <c r="H11" s="316"/>
      <c r="I11" s="317"/>
    </row>
    <row r="12" spans="2:9" x14ac:dyDescent="0.25">
      <c r="B12" s="316"/>
      <c r="C12" s="316"/>
      <c r="D12" s="316"/>
      <c r="E12" s="316"/>
      <c r="F12" s="316"/>
      <c r="G12" s="316"/>
      <c r="H12" s="316"/>
      <c r="I12" s="317"/>
    </row>
    <row r="13" spans="2:9" x14ac:dyDescent="0.25">
      <c r="B13" s="316"/>
      <c r="C13" s="316"/>
      <c r="D13" s="316"/>
      <c r="E13" s="316"/>
      <c r="F13" s="316"/>
      <c r="G13" s="316"/>
      <c r="H13" s="316"/>
      <c r="I13" s="317"/>
    </row>
    <row r="14" spans="2:9" x14ac:dyDescent="0.25">
      <c r="B14" s="316"/>
      <c r="C14" s="316"/>
      <c r="D14" s="316"/>
      <c r="E14" s="316"/>
      <c r="F14" s="316"/>
      <c r="G14" s="316"/>
      <c r="H14" s="316"/>
      <c r="I14" s="317"/>
    </row>
    <row r="15" spans="2:9" x14ac:dyDescent="0.25">
      <c r="B15" s="316"/>
      <c r="C15" s="316"/>
      <c r="D15" s="316"/>
      <c r="E15" s="316"/>
      <c r="F15" s="316"/>
      <c r="G15" s="316"/>
      <c r="H15" s="316"/>
      <c r="I15" s="317"/>
    </row>
    <row r="16" spans="2:9" x14ac:dyDescent="0.25">
      <c r="B16" s="316"/>
      <c r="C16" s="316"/>
      <c r="D16" s="316"/>
      <c r="E16" s="316"/>
      <c r="F16" s="316"/>
      <c r="G16" s="316"/>
      <c r="H16" s="316"/>
      <c r="I16" s="317"/>
    </row>
    <row r="17" spans="1:12" x14ac:dyDescent="0.25">
      <c r="B17" s="316"/>
      <c r="C17" s="316"/>
      <c r="D17" s="316"/>
      <c r="E17" s="316"/>
      <c r="F17" s="316"/>
      <c r="G17" s="316"/>
      <c r="H17" s="316"/>
      <c r="I17" s="317"/>
    </row>
    <row r="18" spans="1:12" x14ac:dyDescent="0.25">
      <c r="B18" s="316"/>
      <c r="C18" s="316"/>
      <c r="D18" s="316"/>
      <c r="E18" s="316"/>
      <c r="F18" s="316"/>
      <c r="G18" s="316"/>
      <c r="H18" s="316"/>
      <c r="I18" s="317"/>
    </row>
    <row r="19" spans="1:12" x14ac:dyDescent="0.25">
      <c r="B19" s="316"/>
      <c r="C19" s="316"/>
      <c r="D19" s="316"/>
      <c r="E19" s="316"/>
      <c r="F19" s="316"/>
      <c r="G19" s="316"/>
      <c r="H19" s="316"/>
      <c r="I19" s="317"/>
    </row>
    <row r="20" spans="1:12" x14ac:dyDescent="0.25">
      <c r="B20" s="316"/>
      <c r="C20" s="316"/>
      <c r="D20" s="316"/>
      <c r="E20" s="316"/>
      <c r="F20" s="316"/>
      <c r="G20" s="316"/>
      <c r="H20" s="316"/>
      <c r="I20" s="317"/>
    </row>
    <row r="21" spans="1:12" x14ac:dyDescent="0.25">
      <c r="B21" s="316"/>
      <c r="C21" s="316"/>
      <c r="D21" s="316"/>
      <c r="E21" s="316"/>
      <c r="F21" s="316"/>
      <c r="G21" s="316"/>
      <c r="H21" s="316"/>
      <c r="I21" s="317"/>
    </row>
    <row r="22" spans="1:12" x14ac:dyDescent="0.25">
      <c r="B22" s="316"/>
      <c r="C22" s="316"/>
      <c r="D22" s="316"/>
      <c r="E22" s="316"/>
      <c r="F22" s="316"/>
      <c r="G22" s="316"/>
      <c r="H22" s="316"/>
      <c r="I22" s="317"/>
    </row>
    <row r="23" spans="1:12" x14ac:dyDescent="0.25">
      <c r="B23" s="316"/>
      <c r="C23" s="316"/>
      <c r="D23" s="316"/>
      <c r="E23" s="316"/>
      <c r="F23" s="316"/>
      <c r="G23" s="316"/>
      <c r="H23" s="316"/>
      <c r="I23" s="317"/>
    </row>
    <row r="24" spans="1:12" x14ac:dyDescent="0.25">
      <c r="B24" s="316"/>
      <c r="C24" s="316"/>
      <c r="D24" s="316"/>
      <c r="E24" s="316"/>
      <c r="F24" s="316"/>
      <c r="G24" s="316"/>
      <c r="H24" s="316"/>
      <c r="I24" s="317"/>
    </row>
    <row r="25" spans="1:12" x14ac:dyDescent="0.25">
      <c r="B25" s="53"/>
      <c r="C25" s="53"/>
      <c r="D25" s="53"/>
      <c r="E25" s="53"/>
      <c r="F25" s="53"/>
      <c r="G25" s="53"/>
      <c r="H25" s="53"/>
      <c r="I25" s="53"/>
    </row>
    <row r="26" spans="1:12" x14ac:dyDescent="0.25">
      <c r="A26" s="1" t="s">
        <v>272</v>
      </c>
    </row>
    <row r="27" spans="1:12" x14ac:dyDescent="0.25">
      <c r="A27">
        <v>1</v>
      </c>
      <c r="B27" t="s">
        <v>307</v>
      </c>
    </row>
    <row r="28" spans="1:12" x14ac:dyDescent="0.25">
      <c r="A28">
        <v>2</v>
      </c>
      <c r="B28" t="s">
        <v>290</v>
      </c>
    </row>
    <row r="29" spans="1:12" x14ac:dyDescent="0.25">
      <c r="A29">
        <v>3</v>
      </c>
      <c r="B29" t="s">
        <v>291</v>
      </c>
    </row>
    <row r="30" spans="1:12" ht="15" customHeight="1" x14ac:dyDescent="0.25">
      <c r="A30">
        <v>4</v>
      </c>
      <c r="B30" s="318" t="s">
        <v>292</v>
      </c>
      <c r="C30" s="318"/>
      <c r="D30" s="318"/>
      <c r="E30" s="318"/>
      <c r="F30" s="318"/>
      <c r="G30" s="318"/>
      <c r="H30" s="318"/>
      <c r="I30" s="318"/>
      <c r="J30" s="318"/>
      <c r="K30" s="318"/>
      <c r="L30" s="318"/>
    </row>
    <row r="31" spans="1:12" x14ac:dyDescent="0.25">
      <c r="B31" s="318"/>
      <c r="C31" s="318"/>
      <c r="D31" s="318"/>
      <c r="E31" s="318"/>
      <c r="F31" s="318"/>
      <c r="G31" s="318"/>
      <c r="H31" s="318"/>
      <c r="I31" s="318"/>
      <c r="J31" s="318"/>
      <c r="K31" s="318"/>
      <c r="L31" s="318"/>
    </row>
    <row r="32" spans="1:12" x14ac:dyDescent="0.25">
      <c r="A32">
        <v>5</v>
      </c>
      <c r="B32" t="s">
        <v>308</v>
      </c>
    </row>
  </sheetData>
  <customSheetViews>
    <customSheetView guid="{A3E8C8DD-8C60-4C83-AE95-312CF58B6ABA}" topLeftCell="A16">
      <selection activeCell="H26" sqref="H26"/>
      <pageMargins left="0.7" right="0.7" top="0.75" bottom="0.75" header="0.3" footer="0.3"/>
      <pageSetup orientation="portrait" r:id="rId1"/>
    </customSheetView>
  </customSheetViews>
  <mergeCells count="2">
    <mergeCell ref="B2:I24"/>
    <mergeCell ref="B30:L31"/>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tint="4.9989318521683403E-2"/>
  </sheetPr>
  <dimension ref="A1:Q64"/>
  <sheetViews>
    <sheetView workbookViewId="0">
      <selection activeCell="H3" sqref="H3"/>
    </sheetView>
  </sheetViews>
  <sheetFormatPr defaultRowHeight="15" x14ac:dyDescent="0.25"/>
  <cols>
    <col min="1" max="1" width="30.85546875" customWidth="1"/>
    <col min="2" max="3" width="22.5703125" customWidth="1"/>
    <col min="4" max="4" width="19.28515625" customWidth="1"/>
    <col min="5" max="5" width="19.7109375" style="2" customWidth="1"/>
    <col min="6" max="6" width="12.7109375" bestFit="1" customWidth="1"/>
    <col min="7" max="7" width="14.42578125" customWidth="1"/>
    <col min="8" max="8" width="20" bestFit="1" customWidth="1"/>
    <col min="9" max="9" width="12.7109375" bestFit="1" customWidth="1"/>
    <col min="10" max="10" width="12.7109375" style="2" bestFit="1" customWidth="1"/>
    <col min="11" max="11" width="12.7109375" bestFit="1" customWidth="1"/>
    <col min="12" max="13" width="12" customWidth="1"/>
    <col min="14" max="14" width="16.5703125" customWidth="1"/>
    <col min="15" max="15" width="11.5703125" bestFit="1" customWidth="1"/>
    <col min="16" max="16" width="9.5703125" customWidth="1"/>
  </cols>
  <sheetData>
    <row r="1" spans="1:17" ht="15.75" x14ac:dyDescent="0.25">
      <c r="A1" s="4" t="s">
        <v>49</v>
      </c>
    </row>
    <row r="2" spans="1:17" ht="15.75" x14ac:dyDescent="0.25">
      <c r="A2" s="326" t="s">
        <v>50</v>
      </c>
      <c r="B2" s="327"/>
      <c r="D2" s="328" t="s">
        <v>76</v>
      </c>
      <c r="E2" s="328"/>
      <c r="G2" s="329" t="s">
        <v>87</v>
      </c>
      <c r="H2" s="330"/>
    </row>
    <row r="3" spans="1:17" x14ac:dyDescent="0.25">
      <c r="A3" s="26" t="s">
        <v>78</v>
      </c>
      <c r="B3" s="48">
        <f>'Entry Sheet'!B3</f>
        <v>0</v>
      </c>
      <c r="D3" s="24" t="s">
        <v>262</v>
      </c>
      <c r="E3" s="241">
        <f>'Entry Sheet'!E3</f>
        <v>0</v>
      </c>
      <c r="G3" s="24" t="s">
        <v>83</v>
      </c>
      <c r="H3" s="242">
        <f>TypeComStock4</f>
        <v>0</v>
      </c>
    </row>
    <row r="4" spans="1:17" ht="18.75" customHeight="1" x14ac:dyDescent="0.25">
      <c r="A4" s="25" t="s">
        <v>52</v>
      </c>
      <c r="B4" s="48">
        <f>'Entry Sheet'!B4</f>
        <v>0</v>
      </c>
      <c r="C4" s="2"/>
      <c r="D4" s="39" t="s">
        <v>90</v>
      </c>
      <c r="E4" s="242">
        <f>TypeCrop4</f>
        <v>0</v>
      </c>
      <c r="G4" s="24" t="s">
        <v>82</v>
      </c>
      <c r="H4" s="242">
        <f>NumComStock4</f>
        <v>0</v>
      </c>
      <c r="I4" s="2"/>
      <c r="J4"/>
    </row>
    <row r="5" spans="1:17" x14ac:dyDescent="0.25">
      <c r="A5" s="27" t="s">
        <v>80</v>
      </c>
      <c r="B5" s="48">
        <f>TypeStock4</f>
        <v>0</v>
      </c>
      <c r="C5" s="2"/>
      <c r="D5" s="39" t="s">
        <v>79</v>
      </c>
      <c r="E5" s="242">
        <f>NumCrop4</f>
        <v>0</v>
      </c>
      <c r="I5" s="2"/>
      <c r="J5"/>
    </row>
    <row r="6" spans="1:17" x14ac:dyDescent="0.25">
      <c r="A6" s="27" t="s">
        <v>81</v>
      </c>
      <c r="B6" s="48">
        <f>NumStock4</f>
        <v>0</v>
      </c>
      <c r="C6" s="19"/>
      <c r="E6"/>
      <c r="F6" s="18"/>
      <c r="G6" s="18"/>
      <c r="H6" s="18"/>
      <c r="I6" s="19"/>
      <c r="J6" s="18"/>
      <c r="K6" s="18"/>
      <c r="L6" s="18"/>
      <c r="M6" s="18"/>
      <c r="N6" s="18"/>
    </row>
    <row r="7" spans="1:17" x14ac:dyDescent="0.25">
      <c r="C7" s="19"/>
      <c r="D7" s="19"/>
      <c r="E7" s="18"/>
      <c r="F7" s="18"/>
      <c r="G7" s="18"/>
      <c r="H7" s="18"/>
      <c r="I7" s="19"/>
      <c r="J7" s="18"/>
      <c r="K7" s="18"/>
      <c r="L7" s="18"/>
      <c r="M7" s="18"/>
      <c r="N7" s="18"/>
    </row>
    <row r="8" spans="1:17" x14ac:dyDescent="0.25">
      <c r="C8" s="19"/>
      <c r="D8" s="19"/>
      <c r="E8" s="18"/>
      <c r="F8" s="18"/>
      <c r="G8" s="18"/>
      <c r="H8" s="18"/>
      <c r="I8" s="19"/>
      <c r="J8" s="18"/>
      <c r="K8" s="18"/>
      <c r="L8" s="18"/>
      <c r="M8" s="18"/>
      <c r="N8" s="18"/>
    </row>
    <row r="9" spans="1:17" x14ac:dyDescent="0.25">
      <c r="A9" s="18"/>
      <c r="B9" s="17"/>
      <c r="C9" s="19"/>
      <c r="D9" s="19"/>
      <c r="E9" s="18"/>
      <c r="F9" s="18"/>
      <c r="G9" s="18"/>
      <c r="H9" s="18"/>
      <c r="I9" s="19"/>
      <c r="J9" s="18"/>
      <c r="K9" s="18"/>
      <c r="L9" s="18"/>
      <c r="M9" s="18"/>
      <c r="N9" s="18"/>
    </row>
    <row r="10" spans="1:17" x14ac:dyDescent="0.25">
      <c r="A10" s="37" t="s">
        <v>111</v>
      </c>
      <c r="B10" s="35"/>
      <c r="C10" s="36"/>
      <c r="D10" s="36"/>
      <c r="E10" s="37"/>
      <c r="F10" s="18"/>
      <c r="G10" s="18"/>
      <c r="H10" s="18"/>
      <c r="I10" s="19"/>
      <c r="J10" s="18"/>
      <c r="K10" s="18"/>
      <c r="L10" s="18"/>
      <c r="M10" s="18"/>
      <c r="N10" s="18"/>
    </row>
    <row r="11" spans="1:17" ht="18.75" x14ac:dyDescent="0.25">
      <c r="A11" s="38" t="s">
        <v>91</v>
      </c>
      <c r="B11" s="17"/>
      <c r="C11" s="19"/>
      <c r="D11" s="19"/>
      <c r="E11" s="18"/>
      <c r="F11" s="18"/>
      <c r="G11" s="18"/>
      <c r="H11" s="18"/>
      <c r="I11" s="19"/>
      <c r="J11" s="18"/>
      <c r="K11" s="18"/>
      <c r="L11" s="18"/>
      <c r="M11" s="18"/>
      <c r="N11" s="18"/>
    </row>
    <row r="12" spans="1:17" x14ac:dyDescent="0.25">
      <c r="A12" s="72" t="s">
        <v>84</v>
      </c>
      <c r="B12" s="73" t="s">
        <v>63</v>
      </c>
      <c r="C12" s="73" t="s">
        <v>64</v>
      </c>
      <c r="D12" s="73" t="s">
        <v>65</v>
      </c>
      <c r="E12" s="73" t="s">
        <v>66</v>
      </c>
      <c r="F12" s="73" t="s">
        <v>67</v>
      </c>
      <c r="G12" s="73" t="s">
        <v>68</v>
      </c>
      <c r="H12" s="73" t="s">
        <v>69</v>
      </c>
      <c r="I12" s="73" t="s">
        <v>70</v>
      </c>
      <c r="J12" s="73" t="s">
        <v>71</v>
      </c>
      <c r="K12" s="73" t="s">
        <v>72</v>
      </c>
      <c r="L12" s="73" t="s">
        <v>73</v>
      </c>
      <c r="M12" s="73" t="s">
        <v>74</v>
      </c>
      <c r="N12" s="74" t="s">
        <v>77</v>
      </c>
      <c r="O12" s="2"/>
      <c r="P12" s="3"/>
      <c r="Q12" s="2"/>
    </row>
    <row r="13" spans="1:17" x14ac:dyDescent="0.25">
      <c r="A13" s="84" t="s">
        <v>98</v>
      </c>
      <c r="B13" s="85">
        <f>IFERROR(INDEX(Assumptions!$A$14:$B$17,MATCH(EntryStock,TypeStockD,0),2),0)</f>
        <v>0</v>
      </c>
      <c r="C13" s="85">
        <f>IFERROR(INDEX(Assumptions!$A$14:$B$17,MATCH(EntryStock,TypeStockD,0),2),0)</f>
        <v>0</v>
      </c>
      <c r="D13" s="85">
        <f>IFERROR(INDEX(Assumptions!$A$14:$B$17,MATCH(EntryStock,TypeStockD,0),2),0)</f>
        <v>0</v>
      </c>
      <c r="E13" s="85">
        <f>IFERROR(INDEX(Assumptions!$A$14:$B$17,MATCH(EntryStock,TypeStockD,0),2),0)</f>
        <v>0</v>
      </c>
      <c r="F13" s="85">
        <f>IFERROR(INDEX(Assumptions!$A$14:$B$17,MATCH(EntryStock,TypeStockD,0),2),0)</f>
        <v>0</v>
      </c>
      <c r="G13" s="85">
        <f>IFERROR(INDEX(Assumptions!$A$14:$B$17,MATCH(EntryStock,TypeStockD,0),2),0)</f>
        <v>0</v>
      </c>
      <c r="H13" s="85">
        <f>IFERROR(INDEX(Assumptions!$A$14:$B$17,MATCH(EntryStock,TypeStockD,0),2),0)</f>
        <v>0</v>
      </c>
      <c r="I13" s="85">
        <f>IFERROR(INDEX(Assumptions!$A$14:$B$17,MATCH(EntryStock,TypeStockD,0),2),0)</f>
        <v>0</v>
      </c>
      <c r="J13" s="85">
        <f>IFERROR(INDEX(Assumptions!$A$14:$B$17,MATCH(EntryStock,TypeStockD,0),2),0)</f>
        <v>0</v>
      </c>
      <c r="K13" s="85">
        <f>IFERROR(INDEX(Assumptions!$A$14:$B$17,MATCH(EntryStock,TypeStockD,0),2),0)</f>
        <v>0</v>
      </c>
      <c r="L13" s="85">
        <f>IFERROR(INDEX(Assumptions!$A$14:$B$17,MATCH(EntryStock,TypeStockD,0),2),0)</f>
        <v>0</v>
      </c>
      <c r="M13" s="85">
        <f>IFERROR(INDEX(Assumptions!$A$14:$B$17,MATCH(EntryStock,TypeStockD,0),2),0)</f>
        <v>0</v>
      </c>
      <c r="N13" s="86">
        <f>SUM('Calculation Sheet 4'!$B13:$M13)</f>
        <v>0</v>
      </c>
      <c r="O13" s="2"/>
      <c r="P13" s="3"/>
      <c r="Q13" s="2"/>
    </row>
    <row r="14" spans="1:17" x14ac:dyDescent="0.25">
      <c r="A14" s="80" t="s">
        <v>89</v>
      </c>
      <c r="B14" s="78">
        <f>'Entry Sheet'!B31</f>
        <v>0</v>
      </c>
      <c r="C14" s="78">
        <f>'Entry Sheet'!C31</f>
        <v>0</v>
      </c>
      <c r="D14" s="78">
        <f>'Entry Sheet'!D31</f>
        <v>0</v>
      </c>
      <c r="E14" s="78">
        <f>'Entry Sheet'!E31</f>
        <v>0</v>
      </c>
      <c r="F14" s="78">
        <f>'Entry Sheet'!F31</f>
        <v>0</v>
      </c>
      <c r="G14" s="78">
        <f>'Entry Sheet'!G31</f>
        <v>0</v>
      </c>
      <c r="H14" s="78">
        <f>'Entry Sheet'!H31</f>
        <v>0</v>
      </c>
      <c r="I14" s="78">
        <f>'Entry Sheet'!I31</f>
        <v>0</v>
      </c>
      <c r="J14" s="78">
        <f>'Entry Sheet'!J31</f>
        <v>0</v>
      </c>
      <c r="K14" s="78">
        <f>'Entry Sheet'!K31</f>
        <v>0</v>
      </c>
      <c r="L14" s="78">
        <f>'Entry Sheet'!L31</f>
        <v>0</v>
      </c>
      <c r="M14" s="78">
        <f>'Entry Sheet'!M31</f>
        <v>0</v>
      </c>
      <c r="N14" s="244">
        <f>SUM('Calculation Sheet 4'!$B14:$M14)</f>
        <v>0</v>
      </c>
      <c r="O14" s="2"/>
      <c r="P14" s="3"/>
      <c r="Q14" s="2"/>
    </row>
    <row r="15" spans="1:17" x14ac:dyDescent="0.25">
      <c r="A15" s="77" t="s">
        <v>110</v>
      </c>
      <c r="B15" s="121">
        <f>Stock*B$13*DaysStockwatering1/Conversions!$B$4</f>
        <v>0</v>
      </c>
      <c r="C15" s="121">
        <f>Stock*C$13*DaysStockwatering1/Conversions!$B$4</f>
        <v>0</v>
      </c>
      <c r="D15" s="121">
        <f>Stock*D$13*DaysStockwatering1/Conversions!$B$4</f>
        <v>0</v>
      </c>
      <c r="E15" s="121">
        <f>Stock*E$13*DaysStockwatering1/Conversions!$B$4</f>
        <v>0</v>
      </c>
      <c r="F15" s="121">
        <f>Stock*F$13*DaysStockwatering1/Conversions!$B$4</f>
        <v>0</v>
      </c>
      <c r="G15" s="121">
        <f>Stock*G$13*DaysStockwatering1/Conversions!$B$4</f>
        <v>0</v>
      </c>
      <c r="H15" s="121">
        <f>Stock*H$13*DaysStockwatering1/Conversions!$B$4</f>
        <v>0</v>
      </c>
      <c r="I15" s="121">
        <f>Stock*I$13*DaysStockwatering1/Conversions!$B$4</f>
        <v>0</v>
      </c>
      <c r="J15" s="121">
        <f>Stock*J$13*DaysStockwatering1/Conversions!$B$4</f>
        <v>0</v>
      </c>
      <c r="K15" s="121">
        <f>Stock*K$13*DaysStockwatering1/Conversions!$B$4</f>
        <v>0</v>
      </c>
      <c r="L15" s="121">
        <f>Stock*L$13*DaysStockwatering1/Conversions!$B$4</f>
        <v>0</v>
      </c>
      <c r="M15" s="121">
        <f>Stock*M$13*DaysStockwatering1/Conversions!$B$4</f>
        <v>0</v>
      </c>
      <c r="N15" s="86">
        <f>SUM('Calculation Sheet 4'!$B15:$M15)</f>
        <v>0</v>
      </c>
      <c r="O15" s="2"/>
      <c r="P15" s="3"/>
      <c r="Q15" s="2"/>
    </row>
    <row r="16" spans="1:17" ht="15.75" x14ac:dyDescent="0.25">
      <c r="A16" s="92" t="s">
        <v>107</v>
      </c>
      <c r="B16" s="93">
        <f>SUMIF($A$13:$A$15, "*AF*",B$13:$B$15)</f>
        <v>0</v>
      </c>
      <c r="C16" s="93">
        <f>SUMIF($A$13:$A$15, "*AF*",$B$13:C$15)</f>
        <v>0</v>
      </c>
      <c r="D16" s="93">
        <f>SUMIF($A$13:$A$15, "*AF*",$B$13:D$15)</f>
        <v>0</v>
      </c>
      <c r="E16" s="93">
        <f>SUMIF($A$13:$A$15, "*AF*",$B$13:E$15)</f>
        <v>0</v>
      </c>
      <c r="F16" s="93">
        <f>SUMIF($A$13:$A$15, "*AF*",$B$13:F$15)</f>
        <v>0</v>
      </c>
      <c r="G16" s="93">
        <f>SUMIF($A$13:$A$15, "*AF*",$B$13:G$15)</f>
        <v>0</v>
      </c>
      <c r="H16" s="93">
        <f>SUMIF($A$13:$A$15, "*AF*",$B$13:H$15)</f>
        <v>0</v>
      </c>
      <c r="I16" s="93">
        <f>SUMIF($A$13:$A$15, "*AF*",$B$13:I$15)</f>
        <v>0</v>
      </c>
      <c r="J16" s="93">
        <f>SUMIF($A$13:$A$15, "*AF*",$B$13:J$15)</f>
        <v>0</v>
      </c>
      <c r="K16" s="93">
        <f>SUMIF($A$13:$A$15, "*AF*",$B$13:K$15)</f>
        <v>0</v>
      </c>
      <c r="L16" s="93">
        <f>SUMIF($A$13:$A$15, "*AF*",$B$13:L$15)</f>
        <v>0</v>
      </c>
      <c r="M16" s="93">
        <f>SUMIF($A$13:$A$15, "*AF*",$B$13:M$15)</f>
        <v>0</v>
      </c>
      <c r="N16" s="62">
        <f>SUMIF($A$13:$A$15, "*AF*",$B$13:N$15)</f>
        <v>0</v>
      </c>
      <c r="O16" s="2"/>
      <c r="P16" s="3"/>
      <c r="Q16" s="2"/>
    </row>
    <row r="17" spans="1:17" s="14" customFormat="1" ht="15.75" x14ac:dyDescent="0.25">
      <c r="A17" s="92" t="s">
        <v>108</v>
      </c>
      <c r="B17" s="246">
        <f>B16*Conversions!$B$4</f>
        <v>0</v>
      </c>
      <c r="C17" s="246">
        <f>C16*Conversions!$B$4</f>
        <v>0</v>
      </c>
      <c r="D17" s="246">
        <f>D16*Conversions!$B$4</f>
        <v>0</v>
      </c>
      <c r="E17" s="246">
        <f>E16*Conversions!$B$4</f>
        <v>0</v>
      </c>
      <c r="F17" s="246">
        <f>F16*Conversions!$B$4</f>
        <v>0</v>
      </c>
      <c r="G17" s="246">
        <f>G16*Conversions!$B$4</f>
        <v>0</v>
      </c>
      <c r="H17" s="246">
        <f>H16*Conversions!$B$4</f>
        <v>0</v>
      </c>
      <c r="I17" s="246">
        <f>I16*Conversions!$B$4</f>
        <v>0</v>
      </c>
      <c r="J17" s="246">
        <f>J16*Conversions!$B$4</f>
        <v>0</v>
      </c>
      <c r="K17" s="246">
        <f>K16*Conversions!$B$4</f>
        <v>0</v>
      </c>
      <c r="L17" s="246">
        <f>L16*Conversions!$B$4</f>
        <v>0</v>
      </c>
      <c r="M17" s="246">
        <f>M16*Conversions!$B$4</f>
        <v>0</v>
      </c>
      <c r="N17" s="245">
        <f>SUM('Calculation Sheet 4'!$B17:$M17)</f>
        <v>0</v>
      </c>
      <c r="O17" s="16"/>
      <c r="P17" s="20"/>
      <c r="Q17" s="16"/>
    </row>
    <row r="18" spans="1:17" s="14" customFormat="1" x14ac:dyDescent="0.25">
      <c r="O18" s="16"/>
      <c r="P18" s="20"/>
      <c r="Q18" s="16"/>
    </row>
    <row r="21" spans="1:17" x14ac:dyDescent="0.25">
      <c r="E21"/>
      <c r="J21"/>
    </row>
    <row r="22" spans="1:17" ht="18.75" x14ac:dyDescent="0.3">
      <c r="A22" s="22" t="s">
        <v>92</v>
      </c>
      <c r="B22" s="18"/>
      <c r="C22" s="18"/>
      <c r="D22" s="18"/>
      <c r="E22" s="18"/>
      <c r="F22" s="18"/>
      <c r="G22" s="18"/>
      <c r="H22" s="18"/>
      <c r="I22" s="18"/>
      <c r="J22" s="19"/>
      <c r="K22" s="19"/>
      <c r="L22" s="19"/>
      <c r="M22" s="19"/>
      <c r="N22" s="19"/>
      <c r="O22" s="2"/>
      <c r="P22" s="3"/>
      <c r="Q22" s="2"/>
    </row>
    <row r="23" spans="1:17" ht="15.75" thickBot="1" x14ac:dyDescent="0.3">
      <c r="A23" s="96" t="s">
        <v>84</v>
      </c>
      <c r="B23" s="97" t="s">
        <v>63</v>
      </c>
      <c r="C23" s="97" t="s">
        <v>64</v>
      </c>
      <c r="D23" s="97" t="s">
        <v>65</v>
      </c>
      <c r="E23" s="97" t="s">
        <v>66</v>
      </c>
      <c r="F23" s="97" t="s">
        <v>67</v>
      </c>
      <c r="G23" s="97" t="s">
        <v>68</v>
      </c>
      <c r="H23" s="97" t="s">
        <v>69</v>
      </c>
      <c r="I23" s="97" t="s">
        <v>70</v>
      </c>
      <c r="J23" s="97" t="s">
        <v>71</v>
      </c>
      <c r="K23" s="97" t="s">
        <v>72</v>
      </c>
      <c r="L23" s="97" t="s">
        <v>73</v>
      </c>
      <c r="M23" s="97" t="s">
        <v>74</v>
      </c>
      <c r="N23" s="98" t="s">
        <v>77</v>
      </c>
      <c r="O23" s="2"/>
      <c r="P23" s="3"/>
      <c r="Q23" s="2"/>
    </row>
    <row r="24" spans="1:17" ht="15.75" thickTop="1" x14ac:dyDescent="0.25">
      <c r="A24" s="99" t="str">
        <f>'Calculation Sheet 3'!$A25</f>
        <v>Rate (AF/Acre)</v>
      </c>
      <c r="B24" s="100">
        <f>IFERROR(IF(INDEX(Assumptions!$A$35:$BG$55,MATCH($E$4,Irrigation_Crop,0),MATCH($E$3,IrrigationCounty,0))=0,INDEX(Assumptions!$A$35:$BG$55,MATCH($E$4,Irrigation_Crop,0),COLUMN(Assumptions!$BG$34)),INDEX(Assumptions!$A$35:$BG$55,MATCH($E$4,Irrigation_Crop,0),MATCH($E$3,IrrigationCounty,0))),0)</f>
        <v>0</v>
      </c>
      <c r="C24" s="100">
        <f>IFERROR(IF(INDEX(Assumptions!$A$35:$BG$55,MATCH($E$4,Irrigation_Crop,0),MATCH($E$3,IrrigationCounty,0))=0,INDEX(Assumptions!$A$35:$BG$55,MATCH($E$4,Irrigation_Crop,0),COLUMN(Assumptions!$BG$34)),INDEX(Assumptions!$A$35:$BG$55,MATCH($E$4,Irrigation_Crop,0),MATCH($E$3,IrrigationCounty,0))),0)</f>
        <v>0</v>
      </c>
      <c r="D24" s="100">
        <f>IFERROR(IF(INDEX(Assumptions!$A$35:$BG$55,MATCH($E$4,Irrigation_Crop,0),MATCH($E$3,IrrigationCounty,0))=0,INDEX(Assumptions!$A$35:$BG$55,MATCH($E$4,Irrigation_Crop,0),COLUMN(Assumptions!$BG$34)),INDEX(Assumptions!$A$35:$BG$55,MATCH($E$4,Irrigation_Crop,0),MATCH($E$3,IrrigationCounty,0))),0)</f>
        <v>0</v>
      </c>
      <c r="E24" s="100">
        <f>IFERROR(IF(INDEX(Assumptions!$A$35:$BG$55,MATCH($E$4,Irrigation_Crop,0),MATCH($E$3,IrrigationCounty,0))=0,INDEX(Assumptions!$A$35:$BG$55,MATCH($E$4,Irrigation_Crop,0),COLUMN(Assumptions!$BG$34)),INDEX(Assumptions!$A$35:$BG$55,MATCH($E$4,Irrigation_Crop,0),MATCH($E$3,IrrigationCounty,0))),0)</f>
        <v>0</v>
      </c>
      <c r="F24" s="100">
        <f>IFERROR(IF(INDEX(Assumptions!$A$35:$BG$55,MATCH($E$4,Irrigation_Crop,0),MATCH($E$3,IrrigationCounty,0))=0,INDEX(Assumptions!$A$35:$BG$55,MATCH($E$4,Irrigation_Crop,0),COLUMN(Assumptions!$BG$34)),INDEX(Assumptions!$A$35:$BG$55,MATCH($E$4,Irrigation_Crop,0),MATCH($E$3,IrrigationCounty,0))),0)</f>
        <v>0</v>
      </c>
      <c r="G24" s="100">
        <f>IFERROR(IF(INDEX(Assumptions!$A$35:$BG$55,MATCH($E$4,Irrigation_Crop,0),MATCH($E$3,IrrigationCounty,0))=0,INDEX(Assumptions!$A$35:$BG$55,MATCH($E$4,Irrigation_Crop,0),COLUMN(Assumptions!$BG$34)),INDEX(Assumptions!$A$35:$BG$55,MATCH($E$4,Irrigation_Crop,0),MATCH($E$3,IrrigationCounty,0))),0)</f>
        <v>0</v>
      </c>
      <c r="H24" s="100">
        <f>IFERROR(IF(INDEX(Assumptions!$A$35:$BG$55,MATCH($E$4,Irrigation_Crop,0),MATCH($E$3,IrrigationCounty,0))=0,INDEX(Assumptions!$A$35:$BG$55,MATCH($E$4,Irrigation_Crop,0),COLUMN(Assumptions!$BG$34)),INDEX(Assumptions!$A$35:$BG$55,MATCH($E$4,Irrigation_Crop,0),MATCH($E$3,IrrigationCounty,0))),0)</f>
        <v>0</v>
      </c>
      <c r="I24" s="100">
        <f>IFERROR(IF(INDEX(Assumptions!$A$35:$BG$55,MATCH($E$4,Irrigation_Crop,0),MATCH($E$3,IrrigationCounty,0))=0,INDEX(Assumptions!$A$35:$BG$55,MATCH($E$4,Irrigation_Crop,0),COLUMN(Assumptions!$BG$34)),INDEX(Assumptions!$A$35:$BG$55,MATCH($E$4,Irrigation_Crop,0),MATCH($E$3,IrrigationCounty,0))),0)</f>
        <v>0</v>
      </c>
      <c r="J24" s="100">
        <f>IFERROR(IF(INDEX(Assumptions!$A$35:$BG$55,MATCH($E$4,Irrigation_Crop,0),MATCH($E$3,IrrigationCounty,0))=0,INDEX(Assumptions!$A$35:$BG$55,MATCH($E$4,Irrigation_Crop,0),COLUMN(Assumptions!$BG$34)),INDEX(Assumptions!$A$35:$BG$55,MATCH($E$4,Irrigation_Crop,0),MATCH($E$3,IrrigationCounty,0))),0)</f>
        <v>0</v>
      </c>
      <c r="K24" s="100">
        <f>IFERROR(IF(INDEX(Assumptions!$A$35:$BG$55,MATCH($E$4,Irrigation_Crop,0),MATCH($E$3,IrrigationCounty,0))=0,INDEX(Assumptions!$A$35:$BG$55,MATCH($E$4,Irrigation_Crop,0),COLUMN(Assumptions!$BG$34)),INDEX(Assumptions!$A$35:$BG$55,MATCH($E$4,Irrigation_Crop,0),MATCH($E$3,IrrigationCounty,0))),0)</f>
        <v>0</v>
      </c>
      <c r="L24" s="100">
        <f>IFERROR(IF(INDEX(Assumptions!$A$35:$BG$55,MATCH($E$4,Irrigation_Crop,0),MATCH($E$3,IrrigationCounty,0))=0,INDEX(Assumptions!$A$35:$BG$55,MATCH($E$4,Irrigation_Crop,0),COLUMN(Assumptions!$BG$34)),INDEX(Assumptions!$A$35:$BG$55,MATCH($E$4,Irrigation_Crop,0),MATCH($E$3,IrrigationCounty,0))),0)</f>
        <v>0</v>
      </c>
      <c r="M24" s="100">
        <f>IFERROR(IF(INDEX(Assumptions!$A$35:$BG$55,MATCH($E$4,Irrigation_Crop,0),MATCH($E$3,IrrigationCounty,0))=0,INDEX(Assumptions!$A$35:$BG$55,MATCH($E$4,Irrigation_Crop,0),COLUMN(Assumptions!$BG$34)),INDEX(Assumptions!$A$35:$BG$55,MATCH($E$4,Irrigation_Crop,0),MATCH($E$3,IrrigationCounty,0))),0)</f>
        <v>0</v>
      </c>
      <c r="N24" s="101"/>
      <c r="O24" s="2"/>
      <c r="P24" s="3"/>
      <c r="Q24" s="2"/>
    </row>
    <row r="25" spans="1:17" x14ac:dyDescent="0.25">
      <c r="A25" s="102" t="str">
        <f>'Calculation Sheet 3'!$A26</f>
        <v>Days Irrigated</v>
      </c>
      <c r="B25" s="78">
        <f>'Entry Sheet'!B40</f>
        <v>0</v>
      </c>
      <c r="C25" s="78">
        <f>'Entry Sheet'!C40</f>
        <v>0</v>
      </c>
      <c r="D25" s="78">
        <f>'Entry Sheet'!D40</f>
        <v>0</v>
      </c>
      <c r="E25" s="78">
        <f>'Entry Sheet'!E40</f>
        <v>0</v>
      </c>
      <c r="F25" s="78">
        <f>'Entry Sheet'!F40</f>
        <v>0</v>
      </c>
      <c r="G25" s="78">
        <f>'Entry Sheet'!G40</f>
        <v>0</v>
      </c>
      <c r="H25" s="78">
        <f>'Entry Sheet'!H40</f>
        <v>0</v>
      </c>
      <c r="I25" s="78">
        <f>'Entry Sheet'!I40</f>
        <v>0</v>
      </c>
      <c r="J25" s="78">
        <f>'Entry Sheet'!J40</f>
        <v>0</v>
      </c>
      <c r="K25" s="78">
        <f>'Entry Sheet'!K40</f>
        <v>0</v>
      </c>
      <c r="L25" s="78">
        <f>'Entry Sheet'!L40</f>
        <v>0</v>
      </c>
      <c r="M25" s="78">
        <f>'Entry Sheet'!M40</f>
        <v>0</v>
      </c>
      <c r="N25" s="247">
        <f>SUM('Calculation Sheet 4'!$B25:$M25)</f>
        <v>0</v>
      </c>
      <c r="O25" s="2"/>
      <c r="P25" s="3"/>
      <c r="Q25" s="2"/>
    </row>
    <row r="26" spans="1:17" ht="15.75" x14ac:dyDescent="0.25">
      <c r="A26" s="104" t="str">
        <f>'Calculation Sheet 3'!$A27</f>
        <v>Total, Irrigated (AF)</v>
      </c>
      <c r="B26" s="105">
        <f>Irrigation_Area2*Days_Irrigated2*B$24/Conversions!$B$3*60</f>
        <v>0</v>
      </c>
      <c r="C26" s="105">
        <f>Irrigation_Area2*Days_Irrigated2*C$24/Conversions!$B$3*60</f>
        <v>0</v>
      </c>
      <c r="D26" s="105">
        <f>Irrigation_Area2*Days_Irrigated2*D$24/Conversions!$B$3*60</f>
        <v>0</v>
      </c>
      <c r="E26" s="105">
        <f>Irrigation_Area2*Days_Irrigated2*E$24/Conversions!$B$3*60</f>
        <v>0</v>
      </c>
      <c r="F26" s="105">
        <f>Irrigation_Area2*Days_Irrigated2*F$24/Conversions!$B$3*60</f>
        <v>0</v>
      </c>
      <c r="G26" s="105">
        <f>Irrigation_Area2*Days_Irrigated2*G$24/Conversions!$B$3*60</f>
        <v>0</v>
      </c>
      <c r="H26" s="105">
        <f>Irrigation_Area2*Days_Irrigated2*H$24/Conversions!$B$3*60</f>
        <v>0</v>
      </c>
      <c r="I26" s="105">
        <f>Irrigation_Area2*Days_Irrigated2*I$24/Conversions!$B$3*60</f>
        <v>0</v>
      </c>
      <c r="J26" s="105">
        <f>Irrigation_Area2*Days_Irrigated2*J$24/Conversions!$B$3*60</f>
        <v>0</v>
      </c>
      <c r="K26" s="105">
        <f>Irrigation_Area2*Days_Irrigated2*K$24/Conversions!$B$3*60</f>
        <v>0</v>
      </c>
      <c r="L26" s="105">
        <f>Irrigation_Area2*Days_Irrigated2*L$24/Conversions!$B$3*60</f>
        <v>0</v>
      </c>
      <c r="M26" s="105">
        <f>Irrigation_Area2*Days_Irrigated2*M$24/Conversions!$B$3*60</f>
        <v>0</v>
      </c>
      <c r="N26" s="106">
        <f>SUM('Calculation Sheet 4'!$B26:$M26)</f>
        <v>0</v>
      </c>
      <c r="O26" s="2"/>
      <c r="P26" s="3"/>
      <c r="Q26" s="2"/>
    </row>
    <row r="27" spans="1:17" ht="15.75" x14ac:dyDescent="0.25">
      <c r="A27" s="104" t="str">
        <f>'Calculation Sheet 3'!$A28</f>
        <v>Total, Irrigated (Gallons)</v>
      </c>
      <c r="B27" s="243">
        <f>B26*Conversions!$B$4</f>
        <v>0</v>
      </c>
      <c r="C27" s="243">
        <f>C26*Conversions!$B$4</f>
        <v>0</v>
      </c>
      <c r="D27" s="243">
        <f>D26*Conversions!$B$4</f>
        <v>0</v>
      </c>
      <c r="E27" s="243">
        <f>E26*Conversions!$B$4</f>
        <v>0</v>
      </c>
      <c r="F27" s="243">
        <f>F26*Conversions!$B$4</f>
        <v>0</v>
      </c>
      <c r="G27" s="243">
        <f>G26*Conversions!$B$4</f>
        <v>0</v>
      </c>
      <c r="H27" s="243">
        <f>H26*Conversions!$B$4</f>
        <v>0</v>
      </c>
      <c r="I27" s="243">
        <f>I26*Conversions!$B$4</f>
        <v>0</v>
      </c>
      <c r="J27" s="243">
        <f>J26*Conversions!$B$4</f>
        <v>0</v>
      </c>
      <c r="K27" s="243">
        <f>K26*Conversions!$B$4</f>
        <v>0</v>
      </c>
      <c r="L27" s="243">
        <f>L26*Conversions!$B$4</f>
        <v>0</v>
      </c>
      <c r="M27" s="243">
        <f>M26*Conversions!$B$4</f>
        <v>0</v>
      </c>
      <c r="N27" s="106">
        <f>N26*Conversions!$B$4</f>
        <v>0</v>
      </c>
      <c r="O27" s="2"/>
      <c r="P27" s="3"/>
      <c r="Q27" s="2"/>
    </row>
    <row r="28" spans="1:17" x14ac:dyDescent="0.25">
      <c r="A28" s="43"/>
      <c r="B28" s="19"/>
    </row>
    <row r="29" spans="1:17" ht="18.75" x14ac:dyDescent="0.3">
      <c r="A29" s="21" t="s">
        <v>93</v>
      </c>
      <c r="B29" s="18"/>
      <c r="C29" s="18"/>
      <c r="D29" s="18"/>
      <c r="E29" s="18"/>
      <c r="F29" s="18"/>
      <c r="G29" s="18"/>
      <c r="H29" s="18"/>
      <c r="I29" s="18"/>
      <c r="J29" s="19"/>
      <c r="K29" s="18"/>
      <c r="L29" s="18"/>
      <c r="M29" s="18"/>
      <c r="N29" s="18"/>
    </row>
    <row r="30" spans="1:17" x14ac:dyDescent="0.25">
      <c r="A30" s="125" t="s">
        <v>84</v>
      </c>
      <c r="B30" s="253" t="s">
        <v>63</v>
      </c>
      <c r="C30" s="253" t="s">
        <v>64</v>
      </c>
      <c r="D30" s="253" t="s">
        <v>65</v>
      </c>
      <c r="E30" s="253" t="s">
        <v>66</v>
      </c>
      <c r="F30" s="253" t="s">
        <v>67</v>
      </c>
      <c r="G30" s="253" t="s">
        <v>68</v>
      </c>
      <c r="H30" s="253" t="s">
        <v>69</v>
      </c>
      <c r="I30" s="253" t="s">
        <v>70</v>
      </c>
      <c r="J30" s="253" t="s">
        <v>71</v>
      </c>
      <c r="K30" s="253" t="s">
        <v>72</v>
      </c>
      <c r="L30" s="253" t="s">
        <v>73</v>
      </c>
      <c r="M30" s="253" t="s">
        <v>74</v>
      </c>
      <c r="N30" s="130" t="s">
        <v>77</v>
      </c>
    </row>
    <row r="31" spans="1:17" x14ac:dyDescent="0.25">
      <c r="A31" s="109" t="s">
        <v>96</v>
      </c>
      <c r="B31" s="110">
        <f>IFERROR(INDEX(Assumptions!$A$26:$B$31, MATCH('Calculation Sheet 4'!$H$3,TypeStockC,0),2),0)</f>
        <v>0</v>
      </c>
      <c r="C31" s="110">
        <f>IFERROR(INDEX(Assumptions!$A$26:$B$31, MATCH('Calculation Sheet 4'!$H$3,TypeStockC,0),2),0)</f>
        <v>0</v>
      </c>
      <c r="D31" s="110">
        <f>IFERROR(INDEX(Assumptions!$A$26:$B$31, MATCH('Calculation Sheet 4'!$H$3,TypeStockC,0),2),0)</f>
        <v>0</v>
      </c>
      <c r="E31" s="110">
        <f>IFERROR(INDEX(Assumptions!$A$26:$B$31, MATCH('Calculation Sheet 4'!$H$3,TypeStockC,0),2),0)</f>
        <v>0</v>
      </c>
      <c r="F31" s="110">
        <f>IFERROR(INDEX(Assumptions!$A$26:$B$31, MATCH('Calculation Sheet 4'!$H$3,TypeStockC,0),2),0)</f>
        <v>0</v>
      </c>
      <c r="G31" s="110">
        <f>IFERROR(INDEX(Assumptions!$A$26:$B$31, MATCH('Calculation Sheet 4'!$H$3,TypeStockC,0),2),0)</f>
        <v>0</v>
      </c>
      <c r="H31" s="110">
        <f>IFERROR(INDEX(Assumptions!$A$26:$B$31, MATCH('Calculation Sheet 4'!$H$3,TypeStockC,0),2),0)</f>
        <v>0</v>
      </c>
      <c r="I31" s="110">
        <f>IFERROR(INDEX(Assumptions!$A$26:$B$31, MATCH('Calculation Sheet 4'!$H$3,TypeStockC,0),2),0)</f>
        <v>0</v>
      </c>
      <c r="J31" s="110">
        <f>IFERROR(INDEX(Assumptions!$A$26:$B$31, MATCH('Calculation Sheet 4'!$H$3,TypeStockC,0),2),0)</f>
        <v>0</v>
      </c>
      <c r="K31" s="110">
        <f>IFERROR(INDEX(Assumptions!$A$26:$B$31, MATCH('Calculation Sheet 4'!$H$3,TypeStockC,0),2),0)</f>
        <v>0</v>
      </c>
      <c r="L31" s="110">
        <f>IFERROR(INDEX(Assumptions!$A$26:$B$31, MATCH('Calculation Sheet 4'!$H$3,TypeStockC,0),2),0)</f>
        <v>0</v>
      </c>
      <c r="M31" s="110">
        <f>IFERROR(INDEX(Assumptions!$A$26:$B$31, MATCH('Calculation Sheet 4'!$H$3,TypeStockC,0),2),0)</f>
        <v>0</v>
      </c>
      <c r="N31" s="111"/>
    </row>
    <row r="32" spans="1:17" x14ac:dyDescent="0.25">
      <c r="A32" s="112" t="s">
        <v>86</v>
      </c>
      <c r="B32" s="78">
        <f>'Entry Sheet'!B48</f>
        <v>0</v>
      </c>
      <c r="C32" s="78">
        <f>'Entry Sheet'!C48</f>
        <v>0</v>
      </c>
      <c r="D32" s="78">
        <f>'Entry Sheet'!D48</f>
        <v>0</v>
      </c>
      <c r="E32" s="78">
        <f>'Entry Sheet'!E48</f>
        <v>0</v>
      </c>
      <c r="F32" s="78">
        <f>'Entry Sheet'!F48</f>
        <v>0</v>
      </c>
      <c r="G32" s="78">
        <f>'Entry Sheet'!G48</f>
        <v>0</v>
      </c>
      <c r="H32" s="78">
        <f>'Entry Sheet'!H48</f>
        <v>0</v>
      </c>
      <c r="I32" s="78">
        <f>'Entry Sheet'!I48</f>
        <v>0</v>
      </c>
      <c r="J32" s="78">
        <f>'Entry Sheet'!J48</f>
        <v>0</v>
      </c>
      <c r="K32" s="78">
        <f>'Entry Sheet'!K48</f>
        <v>0</v>
      </c>
      <c r="L32" s="78">
        <f>'Entry Sheet'!L48</f>
        <v>0</v>
      </c>
      <c r="M32" s="78">
        <f>'Entry Sheet'!M48</f>
        <v>0</v>
      </c>
      <c r="N32" s="113">
        <f>SUM('Calculation Sheet 4'!$B32:$M32)</f>
        <v>0</v>
      </c>
    </row>
    <row r="33" spans="1:15" ht="15.75" x14ac:dyDescent="0.25">
      <c r="A33" s="114" t="s">
        <v>265</v>
      </c>
      <c r="B33" s="115">
        <f>B$31*$H$4*Days_Stockwatering2/Conversions!$B$3</f>
        <v>0</v>
      </c>
      <c r="C33" s="115">
        <f>C$31*$H$4*Days_Stockwatering2/Conversions!$B$3</f>
        <v>0</v>
      </c>
      <c r="D33" s="115">
        <f>D$31*$H$4*Days_Stockwatering2/Conversions!$B$3</f>
        <v>0</v>
      </c>
      <c r="E33" s="115">
        <f>E$31*$H$4*Days_Stockwatering2/Conversions!$B$3</f>
        <v>0</v>
      </c>
      <c r="F33" s="115">
        <f>F$31*$H$4*Days_Stockwatering2/Conversions!$B$3</f>
        <v>0</v>
      </c>
      <c r="G33" s="115">
        <f>G$31*$H$4*Days_Stockwatering2/Conversions!$B$3</f>
        <v>0</v>
      </c>
      <c r="H33" s="115">
        <f>H$31*$H$4*Days_Stockwatering2/Conversions!$B$3</f>
        <v>0</v>
      </c>
      <c r="I33" s="115">
        <f>I$31*$H$4*Days_Stockwatering2/Conversions!$B$3</f>
        <v>0</v>
      </c>
      <c r="J33" s="115">
        <f>J$31*$H$4*Days_Stockwatering2/Conversions!$B$3</f>
        <v>0</v>
      </c>
      <c r="K33" s="115">
        <f>K$31*$H$4*Days_Stockwatering2/Conversions!$B$3</f>
        <v>0</v>
      </c>
      <c r="L33" s="115">
        <f>L$31*$H$4*Days_Stockwatering2/Conversions!$B$3</f>
        <v>0</v>
      </c>
      <c r="M33" s="115">
        <f>M$31*$H$4*Days_Stockwatering2/Conversions!$B$3</f>
        <v>0</v>
      </c>
      <c r="N33" s="115">
        <f>SUM('Calculation Sheet 4'!$B33:$M33)</f>
        <v>0</v>
      </c>
    </row>
    <row r="34" spans="1:15" ht="15.75" x14ac:dyDescent="0.25">
      <c r="A34" s="114" t="s">
        <v>268</v>
      </c>
      <c r="B34" s="248">
        <f>B33*Conversions!$B$4</f>
        <v>0</v>
      </c>
      <c r="C34" s="248">
        <f>C33*Conversions!$B$4</f>
        <v>0</v>
      </c>
      <c r="D34" s="248">
        <f>D33*Conversions!$B$4</f>
        <v>0</v>
      </c>
      <c r="E34" s="248">
        <f>E33*Conversions!$B$4</f>
        <v>0</v>
      </c>
      <c r="F34" s="248">
        <f>F33*Conversions!$B$4</f>
        <v>0</v>
      </c>
      <c r="G34" s="248">
        <f>G33*Conversions!$B$4</f>
        <v>0</v>
      </c>
      <c r="H34" s="248">
        <f>H33*Conversions!$B$4</f>
        <v>0</v>
      </c>
      <c r="I34" s="248">
        <f>I33*Conversions!$B$4</f>
        <v>0</v>
      </c>
      <c r="J34" s="248">
        <f>J33*Conversions!$B$4</f>
        <v>0</v>
      </c>
      <c r="K34" s="248">
        <f>K33*Conversions!$B$4</f>
        <v>0</v>
      </c>
      <c r="L34" s="248">
        <f>L33*Conversions!$B$4</f>
        <v>0</v>
      </c>
      <c r="M34" s="248">
        <f>M33*Conversions!$B$4</f>
        <v>0</v>
      </c>
      <c r="N34" s="248">
        <f>N33*Conversions!$B$4</f>
        <v>0</v>
      </c>
      <c r="O34" s="44"/>
    </row>
    <row r="35" spans="1:15" x14ac:dyDescent="0.25">
      <c r="E35"/>
      <c r="J35"/>
    </row>
    <row r="36" spans="1:15" x14ac:dyDescent="0.25">
      <c r="E36"/>
      <c r="J36"/>
    </row>
    <row r="37" spans="1:15" x14ac:dyDescent="0.25">
      <c r="E37"/>
      <c r="J37"/>
    </row>
    <row r="38" spans="1:15" x14ac:dyDescent="0.25">
      <c r="E38"/>
      <c r="J38"/>
    </row>
    <row r="39" spans="1:15" ht="21" x14ac:dyDescent="0.35">
      <c r="A39" s="23" t="s">
        <v>99</v>
      </c>
      <c r="B39" s="18"/>
      <c r="C39" s="18"/>
      <c r="D39" s="18"/>
      <c r="E39" s="18"/>
      <c r="F39" s="18"/>
      <c r="G39" s="18"/>
      <c r="H39" s="18"/>
      <c r="I39" s="18"/>
      <c r="J39" s="19"/>
      <c r="K39" s="18"/>
      <c r="L39" s="18"/>
      <c r="M39" s="18"/>
      <c r="N39" s="18"/>
    </row>
    <row r="40" spans="1:15" x14ac:dyDescent="0.25">
      <c r="A40" s="127" t="s">
        <v>84</v>
      </c>
      <c r="B40" s="128" t="s">
        <v>63</v>
      </c>
      <c r="C40" s="128" t="s">
        <v>64</v>
      </c>
      <c r="D40" s="128" t="s">
        <v>65</v>
      </c>
      <c r="E40" s="128" t="s">
        <v>66</v>
      </c>
      <c r="F40" s="128" t="s">
        <v>67</v>
      </c>
      <c r="G40" s="128" t="s">
        <v>68</v>
      </c>
      <c r="H40" s="128" t="s">
        <v>69</v>
      </c>
      <c r="I40" s="128" t="s">
        <v>70</v>
      </c>
      <c r="J40" s="128" t="s">
        <v>71</v>
      </c>
      <c r="K40" s="128" t="s">
        <v>72</v>
      </c>
      <c r="L40" s="128" t="s">
        <v>73</v>
      </c>
      <c r="M40" s="128" t="s">
        <v>74</v>
      </c>
      <c r="N40" s="129" t="s">
        <v>77</v>
      </c>
    </row>
    <row r="41" spans="1:15" x14ac:dyDescent="0.25">
      <c r="A41" s="119" t="s">
        <v>100</v>
      </c>
      <c r="B41" s="304">
        <f t="shared" ref="B41:M41" si="0">SUMIFS(B$13:B$40, $A$13:$A$40,"*Total*",$A$13:$A$40, "*AF*")</f>
        <v>0</v>
      </c>
      <c r="C41" s="304">
        <f t="shared" si="0"/>
        <v>0</v>
      </c>
      <c r="D41" s="304">
        <f t="shared" si="0"/>
        <v>0</v>
      </c>
      <c r="E41" s="304">
        <f t="shared" si="0"/>
        <v>0</v>
      </c>
      <c r="F41" s="304">
        <f t="shared" si="0"/>
        <v>0</v>
      </c>
      <c r="G41" s="304">
        <f t="shared" si="0"/>
        <v>0</v>
      </c>
      <c r="H41" s="304">
        <f t="shared" si="0"/>
        <v>0</v>
      </c>
      <c r="I41" s="304">
        <f t="shared" si="0"/>
        <v>0</v>
      </c>
      <c r="J41" s="304">
        <f t="shared" si="0"/>
        <v>0</v>
      </c>
      <c r="K41" s="304">
        <f t="shared" si="0"/>
        <v>0</v>
      </c>
      <c r="L41" s="304">
        <f t="shared" si="0"/>
        <v>0</v>
      </c>
      <c r="M41" s="304">
        <f t="shared" si="0"/>
        <v>0</v>
      </c>
      <c r="N41" s="305">
        <f>SUM('Calculation Sheet 4'!$B41:$M41)</f>
        <v>0</v>
      </c>
    </row>
    <row r="42" spans="1:15" ht="15.75" thickBot="1" x14ac:dyDescent="0.3">
      <c r="A42" s="120" t="s">
        <v>101</v>
      </c>
      <c r="B42" s="306">
        <f>B41*Conversions!$B$4</f>
        <v>0</v>
      </c>
      <c r="C42" s="306">
        <f>C41*Conversions!$B$4</f>
        <v>0</v>
      </c>
      <c r="D42" s="306">
        <f>D41*Conversions!$B$4</f>
        <v>0</v>
      </c>
      <c r="E42" s="306">
        <f>E41*Conversions!$B$4</f>
        <v>0</v>
      </c>
      <c r="F42" s="306">
        <f>F41*Conversions!$B$4</f>
        <v>0</v>
      </c>
      <c r="G42" s="306">
        <f>G41*Conversions!$B$4</f>
        <v>0</v>
      </c>
      <c r="H42" s="306">
        <f>H41*Conversions!$B$4</f>
        <v>0</v>
      </c>
      <c r="I42" s="306">
        <f>I41*Conversions!$B$4</f>
        <v>0</v>
      </c>
      <c r="J42" s="306">
        <f>J41*Conversions!$B$4</f>
        <v>0</v>
      </c>
      <c r="K42" s="306">
        <f>K41*Conversions!$B$4</f>
        <v>0</v>
      </c>
      <c r="L42" s="306">
        <f>L41*Conversions!$B$4</f>
        <v>0</v>
      </c>
      <c r="M42" s="306">
        <f>M41*Conversions!$B$4</f>
        <v>0</v>
      </c>
      <c r="N42" s="307">
        <f>N41*Conversions!$B$4</f>
        <v>0</v>
      </c>
    </row>
    <row r="43" spans="1:15" x14ac:dyDescent="0.25">
      <c r="A43" s="18"/>
      <c r="B43" s="18"/>
      <c r="C43" s="18"/>
      <c r="D43" s="18"/>
      <c r="E43" s="18"/>
      <c r="F43" s="18"/>
      <c r="G43" s="18"/>
      <c r="H43" s="18"/>
      <c r="I43" s="18"/>
      <c r="J43" s="19"/>
      <c r="K43" s="18"/>
      <c r="L43" s="18"/>
      <c r="M43" s="18"/>
      <c r="N43" s="18"/>
    </row>
    <row r="44" spans="1:15" x14ac:dyDescent="0.25">
      <c r="E44"/>
    </row>
    <row r="45" spans="1:15" x14ac:dyDescent="0.25">
      <c r="E45"/>
    </row>
    <row r="46" spans="1:15" x14ac:dyDescent="0.25">
      <c r="E46"/>
    </row>
    <row r="47" spans="1:15" x14ac:dyDescent="0.25">
      <c r="E47"/>
    </row>
    <row r="48" spans="1:1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sheetData>
  <sheetProtection formatColumns="0" formatRows="0" insertColumns="0" insertRows="0" insertHyperlinks="0" deleteColumns="0" deleteRows="0" sort="0" autoFilter="0" pivotTables="0"/>
  <customSheetViews>
    <customSheetView guid="{A3E8C8DD-8C60-4C83-AE95-312CF58B6ABA}" topLeftCell="A7">
      <selection activeCell="F41" sqref="F41"/>
      <pageMargins left="0.7" right="0.7" top="0.75" bottom="0.75" header="0.3" footer="0.3"/>
      <pageSetup orientation="portrait" r:id="rId1"/>
    </customSheetView>
  </customSheetViews>
  <mergeCells count="3">
    <mergeCell ref="A2:B2"/>
    <mergeCell ref="D2:E2"/>
    <mergeCell ref="G2:H2"/>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tint="4.9989318521683403E-2"/>
  </sheetPr>
  <dimension ref="A1:Q64"/>
  <sheetViews>
    <sheetView workbookViewId="0">
      <selection activeCell="B33" sqref="B33"/>
    </sheetView>
  </sheetViews>
  <sheetFormatPr defaultRowHeight="15" x14ac:dyDescent="0.25"/>
  <cols>
    <col min="1" max="1" width="30.85546875" customWidth="1"/>
    <col min="2" max="3" width="22.5703125" customWidth="1"/>
    <col min="4" max="4" width="19.28515625" customWidth="1"/>
    <col min="5" max="5" width="19.7109375" style="2" customWidth="1"/>
    <col min="6" max="6" width="12.7109375" bestFit="1" customWidth="1"/>
    <col min="7" max="7" width="14.42578125" customWidth="1"/>
    <col min="8" max="8" width="20" bestFit="1" customWidth="1"/>
    <col min="9" max="9" width="12.7109375" bestFit="1" customWidth="1"/>
    <col min="10" max="10" width="12.7109375" style="2" bestFit="1" customWidth="1"/>
    <col min="11" max="11" width="12.7109375" bestFit="1" customWidth="1"/>
    <col min="12" max="13" width="12" customWidth="1"/>
    <col min="14" max="14" width="16.5703125" customWidth="1"/>
    <col min="15" max="15" width="11.5703125" bestFit="1" customWidth="1"/>
    <col min="16" max="16" width="9.5703125" customWidth="1"/>
  </cols>
  <sheetData>
    <row r="1" spans="1:17" ht="15.75" x14ac:dyDescent="0.25">
      <c r="A1" s="4" t="s">
        <v>49</v>
      </c>
    </row>
    <row r="2" spans="1:17" ht="15.75" x14ac:dyDescent="0.25">
      <c r="A2" s="326" t="s">
        <v>50</v>
      </c>
      <c r="B2" s="327"/>
      <c r="D2" s="328" t="s">
        <v>76</v>
      </c>
      <c r="E2" s="328"/>
      <c r="G2" s="329" t="s">
        <v>87</v>
      </c>
      <c r="H2" s="330"/>
    </row>
    <row r="3" spans="1:17" x14ac:dyDescent="0.25">
      <c r="A3" s="26" t="s">
        <v>78</v>
      </c>
      <c r="B3" s="48">
        <f>'Entry Sheet'!B3</f>
        <v>0</v>
      </c>
      <c r="D3" s="24" t="s">
        <v>262</v>
      </c>
      <c r="E3" s="241">
        <f>'Entry Sheet'!E3</f>
        <v>0</v>
      </c>
      <c r="G3" s="24" t="s">
        <v>83</v>
      </c>
      <c r="H3" s="242">
        <f>TypeComStock5</f>
        <v>0</v>
      </c>
    </row>
    <row r="4" spans="1:17" ht="18.75" customHeight="1" x14ac:dyDescent="0.25">
      <c r="A4" s="25" t="s">
        <v>52</v>
      </c>
      <c r="B4" s="48">
        <f>'Entry Sheet'!B4</f>
        <v>0</v>
      </c>
      <c r="C4" s="2"/>
      <c r="D4" s="39" t="s">
        <v>90</v>
      </c>
      <c r="E4" s="242">
        <f>TypeCrop5</f>
        <v>0</v>
      </c>
      <c r="G4" s="24" t="s">
        <v>82</v>
      </c>
      <c r="H4" s="242">
        <f>NumComStock5</f>
        <v>0</v>
      </c>
      <c r="I4" s="2"/>
      <c r="J4"/>
    </row>
    <row r="5" spans="1:17" x14ac:dyDescent="0.25">
      <c r="A5" s="27" t="s">
        <v>80</v>
      </c>
      <c r="B5" s="48">
        <f>TypeStock5</f>
        <v>0</v>
      </c>
      <c r="C5" s="2"/>
      <c r="D5" s="39" t="s">
        <v>79</v>
      </c>
      <c r="E5" s="242">
        <f>NumCrop5</f>
        <v>0</v>
      </c>
      <c r="I5" s="2"/>
      <c r="J5"/>
    </row>
    <row r="6" spans="1:17" x14ac:dyDescent="0.25">
      <c r="A6" s="27" t="s">
        <v>81</v>
      </c>
      <c r="B6" s="48">
        <f>NumStock5</f>
        <v>0</v>
      </c>
      <c r="C6" s="19"/>
      <c r="E6"/>
      <c r="F6" s="18"/>
      <c r="G6" s="18"/>
      <c r="H6" s="18"/>
      <c r="I6" s="19"/>
      <c r="J6" s="18"/>
      <c r="K6" s="18"/>
      <c r="L6" s="18"/>
      <c r="M6" s="18"/>
      <c r="N6" s="18"/>
    </row>
    <row r="7" spans="1:17" x14ac:dyDescent="0.25">
      <c r="C7" s="19"/>
      <c r="D7" s="19"/>
      <c r="E7" s="18"/>
      <c r="F7" s="18"/>
      <c r="G7" s="18"/>
      <c r="H7" s="18"/>
      <c r="I7" s="19"/>
      <c r="J7" s="18"/>
      <c r="K7" s="18"/>
      <c r="L7" s="18"/>
      <c r="M7" s="18"/>
      <c r="N7" s="18"/>
    </row>
    <row r="8" spans="1:17" x14ac:dyDescent="0.25">
      <c r="C8" s="19"/>
      <c r="D8" s="19"/>
      <c r="E8" s="18"/>
      <c r="F8" s="18"/>
      <c r="G8" s="18"/>
      <c r="H8" s="18"/>
      <c r="I8" s="19"/>
      <c r="J8" s="18"/>
      <c r="K8" s="18"/>
      <c r="L8" s="18"/>
      <c r="M8" s="18"/>
      <c r="N8" s="18"/>
    </row>
    <row r="9" spans="1:17" x14ac:dyDescent="0.25">
      <c r="A9" s="18"/>
      <c r="B9" s="17"/>
      <c r="C9" s="19"/>
      <c r="D9" s="19"/>
      <c r="E9" s="18"/>
      <c r="F9" s="18"/>
      <c r="G9" s="18"/>
      <c r="H9" s="18"/>
      <c r="I9" s="19"/>
      <c r="J9" s="18"/>
      <c r="K9" s="18"/>
      <c r="L9" s="18"/>
      <c r="M9" s="18"/>
      <c r="N9" s="18"/>
    </row>
    <row r="10" spans="1:17" x14ac:dyDescent="0.25">
      <c r="A10" s="37" t="s">
        <v>111</v>
      </c>
      <c r="B10" s="35"/>
      <c r="C10" s="36"/>
      <c r="D10" s="36"/>
      <c r="E10" s="37"/>
      <c r="F10" s="18"/>
      <c r="G10" s="18"/>
      <c r="H10" s="18"/>
      <c r="I10" s="19"/>
      <c r="J10" s="18"/>
      <c r="K10" s="18"/>
      <c r="L10" s="18"/>
      <c r="M10" s="18"/>
      <c r="N10" s="18"/>
    </row>
    <row r="11" spans="1:17" ht="18.75" x14ac:dyDescent="0.25">
      <c r="A11" s="38" t="s">
        <v>91</v>
      </c>
      <c r="B11" s="17"/>
      <c r="C11" s="19"/>
      <c r="D11" s="19"/>
      <c r="E11" s="18"/>
      <c r="F11" s="18"/>
      <c r="G11" s="18"/>
      <c r="H11" s="18"/>
      <c r="I11" s="19"/>
      <c r="J11" s="18"/>
      <c r="K11" s="18"/>
      <c r="L11" s="18"/>
      <c r="M11" s="18"/>
      <c r="N11" s="18"/>
    </row>
    <row r="12" spans="1:17" x14ac:dyDescent="0.25">
      <c r="A12" s="72" t="s">
        <v>84</v>
      </c>
      <c r="B12" s="73" t="s">
        <v>63</v>
      </c>
      <c r="C12" s="73" t="s">
        <v>64</v>
      </c>
      <c r="D12" s="73" t="s">
        <v>65</v>
      </c>
      <c r="E12" s="73" t="s">
        <v>66</v>
      </c>
      <c r="F12" s="73" t="s">
        <v>67</v>
      </c>
      <c r="G12" s="73" t="s">
        <v>68</v>
      </c>
      <c r="H12" s="73" t="s">
        <v>69</v>
      </c>
      <c r="I12" s="73" t="s">
        <v>70</v>
      </c>
      <c r="J12" s="73" t="s">
        <v>71</v>
      </c>
      <c r="K12" s="73" t="s">
        <v>72</v>
      </c>
      <c r="L12" s="73" t="s">
        <v>73</v>
      </c>
      <c r="M12" s="73" t="s">
        <v>74</v>
      </c>
      <c r="N12" s="74" t="s">
        <v>77</v>
      </c>
      <c r="O12" s="2"/>
      <c r="P12" s="3"/>
      <c r="Q12" s="2"/>
    </row>
    <row r="13" spans="1:17" x14ac:dyDescent="0.25">
      <c r="A13" s="84" t="s">
        <v>98</v>
      </c>
      <c r="B13" s="85">
        <f>IFERROR(INDEX(Assumptions!$A$14:$B$18,MATCH(EntryStock,TypeStockD,0),2),0)</f>
        <v>0</v>
      </c>
      <c r="C13" s="85">
        <f>IFERROR(INDEX(Assumptions!$A$14:$B$18,MATCH(EntryStock,TypeStockD,0),2),0)</f>
        <v>0</v>
      </c>
      <c r="D13" s="85">
        <f>IFERROR(INDEX(Assumptions!$A$14:$B$18,MATCH(EntryStock,TypeStockD,0),2),0)</f>
        <v>0</v>
      </c>
      <c r="E13" s="85">
        <f>IFERROR(INDEX(Assumptions!$A$14:$B$18,MATCH(EntryStock,TypeStockD,0),2),0)</f>
        <v>0</v>
      </c>
      <c r="F13" s="85">
        <f>IFERROR(INDEX(Assumptions!$A$14:$B$18,MATCH(EntryStock,TypeStockD,0),2),0)</f>
        <v>0</v>
      </c>
      <c r="G13" s="85">
        <f>IFERROR(INDEX(Assumptions!$A$14:$B$18,MATCH(EntryStock,TypeStockD,0),2),0)</f>
        <v>0</v>
      </c>
      <c r="H13" s="85">
        <f>IFERROR(INDEX(Assumptions!$A$14:$B$18,MATCH(EntryStock,TypeStockD,0),2),0)</f>
        <v>0</v>
      </c>
      <c r="I13" s="85">
        <f>IFERROR(INDEX(Assumptions!$A$14:$B$18,MATCH(EntryStock,TypeStockD,0),2),0)</f>
        <v>0</v>
      </c>
      <c r="J13" s="85">
        <f>IFERROR(INDEX(Assumptions!$A$14:$B$18,MATCH(EntryStock,TypeStockD,0),2),0)</f>
        <v>0</v>
      </c>
      <c r="K13" s="85">
        <f>IFERROR(INDEX(Assumptions!$A$14:$B$18,MATCH(EntryStock,TypeStockD,0),2),0)</f>
        <v>0</v>
      </c>
      <c r="L13" s="85">
        <f>IFERROR(INDEX(Assumptions!$A$14:$B$18,MATCH(EntryStock,TypeStockD,0),2),0)</f>
        <v>0</v>
      </c>
      <c r="M13" s="85">
        <f>IFERROR(INDEX(Assumptions!$A$14:$B$18,MATCH(EntryStock,TypeStockD,0),2),0)</f>
        <v>0</v>
      </c>
      <c r="N13" s="86">
        <f>SUM('Calculation Sheet 5'!$B13:$M13)</f>
        <v>0</v>
      </c>
      <c r="O13" s="2"/>
      <c r="P13" s="3"/>
      <c r="Q13" s="2"/>
    </row>
    <row r="14" spans="1:17" x14ac:dyDescent="0.25">
      <c r="A14" s="80" t="s">
        <v>89</v>
      </c>
      <c r="B14" s="78">
        <f>'Entry Sheet'!B32</f>
        <v>0</v>
      </c>
      <c r="C14" s="78">
        <f>'Entry Sheet'!C32</f>
        <v>0</v>
      </c>
      <c r="D14" s="78">
        <f>'Entry Sheet'!D32</f>
        <v>0</v>
      </c>
      <c r="E14" s="78">
        <f>'Entry Sheet'!E32</f>
        <v>0</v>
      </c>
      <c r="F14" s="78">
        <f>'Entry Sheet'!F32</f>
        <v>0</v>
      </c>
      <c r="G14" s="78">
        <f>'Entry Sheet'!G32</f>
        <v>0</v>
      </c>
      <c r="H14" s="78">
        <f>'Entry Sheet'!H32</f>
        <v>0</v>
      </c>
      <c r="I14" s="78">
        <f>'Entry Sheet'!I32</f>
        <v>0</v>
      </c>
      <c r="J14" s="78">
        <f>'Entry Sheet'!J32</f>
        <v>0</v>
      </c>
      <c r="K14" s="78">
        <f>'Entry Sheet'!K32</f>
        <v>0</v>
      </c>
      <c r="L14" s="78">
        <f>'Entry Sheet'!L32</f>
        <v>0</v>
      </c>
      <c r="M14" s="78">
        <f>'Entry Sheet'!M32</f>
        <v>0</v>
      </c>
      <c r="N14" s="244">
        <f>SUM('Calculation Sheet 5'!$B14:$M14)</f>
        <v>0</v>
      </c>
      <c r="O14" s="2"/>
      <c r="P14" s="3"/>
      <c r="Q14" s="2"/>
    </row>
    <row r="15" spans="1:17" x14ac:dyDescent="0.25">
      <c r="A15" s="77" t="s">
        <v>110</v>
      </c>
      <c r="B15" s="88">
        <f>Stock*B$13*DaysStockwatering1/Conversions!$B$4</f>
        <v>0</v>
      </c>
      <c r="C15" s="88">
        <f>Stock*C$13*DaysStockwatering1/Conversions!$B$4</f>
        <v>0</v>
      </c>
      <c r="D15" s="88">
        <f>Stock*D$13*DaysStockwatering1/Conversions!$B$4</f>
        <v>0</v>
      </c>
      <c r="E15" s="88">
        <f>Stock*E$13*DaysStockwatering1/Conversions!$B$4</f>
        <v>0</v>
      </c>
      <c r="F15" s="88">
        <f>Stock*F$13*DaysStockwatering1/Conversions!$B$4</f>
        <v>0</v>
      </c>
      <c r="G15" s="88">
        <f>Stock*G$13*DaysStockwatering1/Conversions!$B$4</f>
        <v>0</v>
      </c>
      <c r="H15" s="88">
        <f>Stock*H$13*DaysStockwatering1/Conversions!$B$4</f>
        <v>0</v>
      </c>
      <c r="I15" s="88">
        <f>Stock*I$13*DaysStockwatering1/Conversions!$B$4</f>
        <v>0</v>
      </c>
      <c r="J15" s="88">
        <f>Stock*J$13*DaysStockwatering1/Conversions!$B$4</f>
        <v>0</v>
      </c>
      <c r="K15" s="88">
        <f>Stock*K$13*DaysStockwatering1/Conversions!$B$4</f>
        <v>0</v>
      </c>
      <c r="L15" s="88">
        <f>Stock*L$13*DaysStockwatering1/Conversions!$B$4</f>
        <v>0</v>
      </c>
      <c r="M15" s="88">
        <f>Stock*M$13*DaysStockwatering1/Conversions!$B$4</f>
        <v>0</v>
      </c>
      <c r="N15" s="86">
        <f>SUM('Calculation Sheet 5'!$B15:$M15)</f>
        <v>0</v>
      </c>
      <c r="O15" s="2"/>
      <c r="P15" s="3"/>
      <c r="Q15" s="2"/>
    </row>
    <row r="16" spans="1:17" ht="15.75" x14ac:dyDescent="0.25">
      <c r="A16" s="92" t="s">
        <v>107</v>
      </c>
      <c r="B16" s="93">
        <f>SUMIF($A$13:$A$15, "*AF*",B$13:$B$15)</f>
        <v>0</v>
      </c>
      <c r="C16" s="93">
        <f>SUMIF($A$13:$A$15, "*AF*",$B$13:C$15)</f>
        <v>0</v>
      </c>
      <c r="D16" s="93">
        <f>SUMIF($A$13:$A$15, "*AF*",$B$13:D$15)</f>
        <v>0</v>
      </c>
      <c r="E16" s="93">
        <f>SUMIF($A$13:$A$15, "*AF*",$B$13:E$15)</f>
        <v>0</v>
      </c>
      <c r="F16" s="93">
        <f>SUMIF($A$13:$A$15, "*AF*",$B$13:F$15)</f>
        <v>0</v>
      </c>
      <c r="G16" s="93">
        <f>SUMIF($A$13:$A$15, "*AF*",$B$13:G$15)</f>
        <v>0</v>
      </c>
      <c r="H16" s="93">
        <f>SUMIF($A$13:$A$15, "*AF*",$B$13:H$15)</f>
        <v>0</v>
      </c>
      <c r="I16" s="93">
        <f>SUMIF($A$13:$A$15, "*AF*",$B$13:I$15)</f>
        <v>0</v>
      </c>
      <c r="J16" s="93">
        <f>SUMIF($A$13:$A$15, "*AF*",$B$13:J$15)</f>
        <v>0</v>
      </c>
      <c r="K16" s="93">
        <f>SUMIF($A$13:$A$15, "*AF*",$B$13:K$15)</f>
        <v>0</v>
      </c>
      <c r="L16" s="93">
        <f>SUMIF($A$13:$A$15, "*AF*",$B$13:L$15)</f>
        <v>0</v>
      </c>
      <c r="M16" s="93">
        <f>SUMIF($A$13:$A$15, "*AF*",$B$13:M$15)</f>
        <v>0</v>
      </c>
      <c r="N16" s="62">
        <f>SUM('Calculation Sheet 5'!$B16:$M16)</f>
        <v>0</v>
      </c>
      <c r="O16" s="2"/>
      <c r="P16" s="3"/>
      <c r="Q16" s="2"/>
    </row>
    <row r="17" spans="1:17" s="14" customFormat="1" ht="15.75" x14ac:dyDescent="0.25">
      <c r="A17" s="92" t="s">
        <v>108</v>
      </c>
      <c r="B17" s="246">
        <f>B16*Conversions!$B$4</f>
        <v>0</v>
      </c>
      <c r="C17" s="246">
        <f>C16*Conversions!$B$4</f>
        <v>0</v>
      </c>
      <c r="D17" s="246">
        <f>D16*Conversions!$B$4</f>
        <v>0</v>
      </c>
      <c r="E17" s="246">
        <f>E16*Conversions!$B$4</f>
        <v>0</v>
      </c>
      <c r="F17" s="246">
        <f>F16*Conversions!$B$4</f>
        <v>0</v>
      </c>
      <c r="G17" s="246">
        <f>G16*Conversions!$B$4</f>
        <v>0</v>
      </c>
      <c r="H17" s="246">
        <f>H16*Conversions!$B$4</f>
        <v>0</v>
      </c>
      <c r="I17" s="246">
        <f>I16*Conversions!$B$4</f>
        <v>0</v>
      </c>
      <c r="J17" s="246">
        <f>J16*Conversions!$B$4</f>
        <v>0</v>
      </c>
      <c r="K17" s="246">
        <f>K16*Conversions!$B$4</f>
        <v>0</v>
      </c>
      <c r="L17" s="246">
        <f>L16*Conversions!$B$4</f>
        <v>0</v>
      </c>
      <c r="M17" s="246">
        <f>M16*Conversions!$B$4</f>
        <v>0</v>
      </c>
      <c r="N17" s="245">
        <f>SUM('Calculation Sheet 5'!$B17:$M17)</f>
        <v>0</v>
      </c>
      <c r="O17" s="16"/>
      <c r="P17" s="20"/>
      <c r="Q17" s="16"/>
    </row>
    <row r="18" spans="1:17" s="14" customFormat="1" x14ac:dyDescent="0.25">
      <c r="O18" s="16"/>
      <c r="P18" s="20"/>
      <c r="Q18" s="16"/>
    </row>
    <row r="21" spans="1:17" x14ac:dyDescent="0.25">
      <c r="E21"/>
      <c r="J21"/>
    </row>
    <row r="22" spans="1:17" ht="18.75" x14ac:dyDescent="0.3">
      <c r="A22" s="22" t="s">
        <v>92</v>
      </c>
      <c r="B22" s="18"/>
      <c r="C22" s="18"/>
      <c r="D22" s="18"/>
      <c r="E22" s="18"/>
      <c r="F22" s="18"/>
      <c r="G22" s="18"/>
      <c r="H22" s="18"/>
      <c r="I22" s="18"/>
      <c r="J22" s="19"/>
      <c r="K22" s="19"/>
      <c r="L22" s="19"/>
      <c r="M22" s="19"/>
      <c r="N22" s="19"/>
      <c r="O22" s="2"/>
      <c r="P22" s="3"/>
      <c r="Q22" s="2"/>
    </row>
    <row r="23" spans="1:17" ht="15.75" thickBot="1" x14ac:dyDescent="0.3">
      <c r="A23" s="96" t="s">
        <v>84</v>
      </c>
      <c r="B23" s="250" t="s">
        <v>63</v>
      </c>
      <c r="C23" s="250" t="s">
        <v>64</v>
      </c>
      <c r="D23" s="250" t="s">
        <v>65</v>
      </c>
      <c r="E23" s="250" t="s">
        <v>66</v>
      </c>
      <c r="F23" s="250" t="s">
        <v>67</v>
      </c>
      <c r="G23" s="250" t="s">
        <v>68</v>
      </c>
      <c r="H23" s="250" t="s">
        <v>69</v>
      </c>
      <c r="I23" s="250" t="s">
        <v>70</v>
      </c>
      <c r="J23" s="250" t="s">
        <v>71</v>
      </c>
      <c r="K23" s="250" t="s">
        <v>72</v>
      </c>
      <c r="L23" s="250" t="s">
        <v>73</v>
      </c>
      <c r="M23" s="250" t="s">
        <v>74</v>
      </c>
      <c r="N23" s="251" t="s">
        <v>77</v>
      </c>
      <c r="O23" s="2"/>
      <c r="P23" s="3"/>
      <c r="Q23" s="2"/>
    </row>
    <row r="24" spans="1:17" ht="15.75" thickTop="1" x14ac:dyDescent="0.25">
      <c r="A24" s="99" t="str">
        <f>'Calculation Sheet 4'!$A24</f>
        <v>Rate (AF/Acre)</v>
      </c>
      <c r="B24" s="100">
        <f>IFERROR(IF(INDEX(Assumptions!$A$35:$BG$55,MATCH($E$4,Irrigation_Crop,0),MATCH($E$3,IrrigationCounty,0))=0,INDEX(Assumptions!$A$35:$BG$55,MATCH($E$4,Irrigation_Crop,0),COLUMN(Assumptions!$BG$34)),INDEX(Assumptions!$A$35:$BG$55,MATCH($E$4,Irrigation_Crop,0),MATCH($E$3,IrrigationCounty,0))),0)</f>
        <v>0</v>
      </c>
      <c r="C24" s="100">
        <f>IFERROR(IF(INDEX(Assumptions!$A$35:$BG$55,MATCH($E$4,Irrigation_Crop,0),MATCH($E$3,IrrigationCounty,0))=0,INDEX(Assumptions!$A$35:$BG$55,MATCH($E$4,Irrigation_Crop,0),COLUMN(Assumptions!$BG$34)),INDEX(Assumptions!$A$35:$BG$55,MATCH($E$4,Irrigation_Crop,0),MATCH($E$3,IrrigationCounty,0))),0)</f>
        <v>0</v>
      </c>
      <c r="D24" s="100">
        <f>IFERROR(IF(INDEX(Assumptions!$A$35:$BG$55,MATCH($E$4,Irrigation_Crop,0),MATCH($E$3,IrrigationCounty,0))=0,INDEX(Assumptions!$A$35:$BG$55,MATCH($E$4,Irrigation_Crop,0),COLUMN(Assumptions!$BG$34)),INDEX(Assumptions!$A$35:$BG$55,MATCH($E$4,Irrigation_Crop,0),MATCH($E$3,IrrigationCounty,0))),0)</f>
        <v>0</v>
      </c>
      <c r="E24" s="100">
        <f>IFERROR(IF(INDEX(Assumptions!$A$35:$BG$55,MATCH($E$4,Irrigation_Crop,0),MATCH($E$3,IrrigationCounty,0))=0,INDEX(Assumptions!$A$35:$BG$55,MATCH($E$4,Irrigation_Crop,0),COLUMN(Assumptions!$BG$34)),INDEX(Assumptions!$A$35:$BG$55,MATCH($E$4,Irrigation_Crop,0),MATCH($E$3,IrrigationCounty,0))),0)</f>
        <v>0</v>
      </c>
      <c r="F24" s="100">
        <f>IFERROR(IF(INDEX(Assumptions!$A$35:$BG$55,MATCH($E$4,Irrigation_Crop,0),MATCH($E$3,IrrigationCounty,0))=0,INDEX(Assumptions!$A$35:$BG$55,MATCH($E$4,Irrigation_Crop,0),COLUMN(Assumptions!$BG$34)),INDEX(Assumptions!$A$35:$BG$55,MATCH($E$4,Irrigation_Crop,0),MATCH($E$3,IrrigationCounty,0))),0)</f>
        <v>0</v>
      </c>
      <c r="G24" s="100">
        <f>IFERROR(IF(INDEX(Assumptions!$A$35:$BG$55,MATCH($E$4,Irrigation_Crop,0),MATCH($E$3,IrrigationCounty,0))=0,INDEX(Assumptions!$A$35:$BG$55,MATCH($E$4,Irrigation_Crop,0),COLUMN(Assumptions!$BG$34)),INDEX(Assumptions!$A$35:$BG$55,MATCH($E$4,Irrigation_Crop,0),MATCH($E$3,IrrigationCounty,0))),0)</f>
        <v>0</v>
      </c>
      <c r="H24" s="100">
        <f>IFERROR(IF(INDEX(Assumptions!$A$35:$BG$55,MATCH($E$4,Irrigation_Crop,0),MATCH($E$3,IrrigationCounty,0))=0,INDEX(Assumptions!$A$35:$BG$55,MATCH($E$4,Irrigation_Crop,0),COLUMN(Assumptions!$BG$34)),INDEX(Assumptions!$A$35:$BG$55,MATCH($E$4,Irrigation_Crop,0),MATCH($E$3,IrrigationCounty,0))),0)</f>
        <v>0</v>
      </c>
      <c r="I24" s="100">
        <f>IFERROR(IF(INDEX(Assumptions!$A$35:$BG$55,MATCH($E$4,Irrigation_Crop,0),MATCH($E$3,IrrigationCounty,0))=0,INDEX(Assumptions!$A$35:$BG$55,MATCH($E$4,Irrigation_Crop,0),COLUMN(Assumptions!$BG$34)),INDEX(Assumptions!$A$35:$BG$55,MATCH($E$4,Irrigation_Crop,0),MATCH($E$3,IrrigationCounty,0))),0)</f>
        <v>0</v>
      </c>
      <c r="J24" s="100">
        <f>IFERROR(IF(INDEX(Assumptions!$A$35:$BG$55,MATCH($E$4,Irrigation_Crop,0),MATCH($E$3,IrrigationCounty,0))=0,INDEX(Assumptions!$A$35:$BG$55,MATCH($E$4,Irrigation_Crop,0),COLUMN(Assumptions!$BG$34)),INDEX(Assumptions!$A$35:$BG$55,MATCH($E$4,Irrigation_Crop,0),MATCH($E$3,IrrigationCounty,0))),0)</f>
        <v>0</v>
      </c>
      <c r="K24" s="100">
        <f>IFERROR(IF(INDEX(Assumptions!$A$35:$BG$55,MATCH($E$4,Irrigation_Crop,0),MATCH($E$3,IrrigationCounty,0))=0,INDEX(Assumptions!$A$35:$BG$55,MATCH($E$4,Irrigation_Crop,0),COLUMN(Assumptions!$BG$34)),INDEX(Assumptions!$A$35:$BG$55,MATCH($E$4,Irrigation_Crop,0),MATCH($E$3,IrrigationCounty,0))),0)</f>
        <v>0</v>
      </c>
      <c r="L24" s="100">
        <f>IFERROR(IF(INDEX(Assumptions!$A$35:$BG$55,MATCH($E$4,Irrigation_Crop,0),MATCH($E$3,IrrigationCounty,0))=0,INDEX(Assumptions!$A$35:$BG$55,MATCH($E$4,Irrigation_Crop,0),COLUMN(Assumptions!$BG$34)),INDEX(Assumptions!$A$35:$BG$55,MATCH($E$4,Irrigation_Crop,0),MATCH($E$3,IrrigationCounty,0))),0)</f>
        <v>0</v>
      </c>
      <c r="M24" s="100">
        <f>IFERROR(IF(INDEX(Assumptions!$A$35:$BG$55,MATCH($E$4,Irrigation_Crop,0),MATCH($E$3,IrrigationCounty,0))=0,INDEX(Assumptions!$A$35:$BG$55,MATCH($E$4,Irrigation_Crop,0),COLUMN(Assumptions!$BG$34)),INDEX(Assumptions!$A$35:$BG$55,MATCH($E$4,Irrigation_Crop,0),MATCH($E$3,IrrigationCounty,0))),0)</f>
        <v>0</v>
      </c>
      <c r="N24" s="101"/>
      <c r="O24" s="2"/>
      <c r="P24" s="3"/>
      <c r="Q24" s="2"/>
    </row>
    <row r="25" spans="1:17" x14ac:dyDescent="0.25">
      <c r="A25" s="102" t="str">
        <f>'Calculation Sheet 4'!$A25</f>
        <v>Days Irrigated</v>
      </c>
      <c r="B25" s="78">
        <f>'Entry Sheet'!B41</f>
        <v>0</v>
      </c>
      <c r="C25" s="78">
        <f>'Entry Sheet'!C41</f>
        <v>0</v>
      </c>
      <c r="D25" s="78">
        <f>'Entry Sheet'!D41</f>
        <v>0</v>
      </c>
      <c r="E25" s="78">
        <f>'Entry Sheet'!E41</f>
        <v>0</v>
      </c>
      <c r="F25" s="78">
        <f>'Entry Sheet'!F41</f>
        <v>0</v>
      </c>
      <c r="G25" s="78">
        <f>'Entry Sheet'!G41</f>
        <v>0</v>
      </c>
      <c r="H25" s="78">
        <f>'Entry Sheet'!H41</f>
        <v>0</v>
      </c>
      <c r="I25" s="78">
        <f>'Entry Sheet'!I41</f>
        <v>0</v>
      </c>
      <c r="J25" s="78">
        <f>'Entry Sheet'!J41</f>
        <v>0</v>
      </c>
      <c r="K25" s="78">
        <f>'Entry Sheet'!K41</f>
        <v>0</v>
      </c>
      <c r="L25" s="78">
        <f>'Entry Sheet'!L41</f>
        <v>0</v>
      </c>
      <c r="M25" s="78">
        <f>'Entry Sheet'!M41</f>
        <v>0</v>
      </c>
      <c r="N25" s="247">
        <f>SUM('Calculation Sheet 5'!$B25:$M25)</f>
        <v>0</v>
      </c>
      <c r="O25" s="2"/>
      <c r="P25" s="3"/>
      <c r="Q25" s="2"/>
    </row>
    <row r="26" spans="1:17" ht="15.75" x14ac:dyDescent="0.25">
      <c r="A26" s="104" t="str">
        <f>'Calculation Sheet 4'!$A26</f>
        <v>Total, Irrigated (AF)</v>
      </c>
      <c r="B26" s="260">
        <f>Irrigation_Area2*Days_Irrigated2*B$24/Conversions!$B$3*60</f>
        <v>0</v>
      </c>
      <c r="C26" s="260">
        <f>Irrigation_Area2*Days_Irrigated2*C$24/Conversions!$B$3*60</f>
        <v>0</v>
      </c>
      <c r="D26" s="260">
        <f>Irrigation_Area2*Days_Irrigated2*D$24/Conversions!$B$3*60</f>
        <v>0</v>
      </c>
      <c r="E26" s="260">
        <f>Irrigation_Area2*Days_Irrigated2*E$24/Conversions!$B$3*60</f>
        <v>0</v>
      </c>
      <c r="F26" s="260">
        <f>Irrigation_Area2*Days_Irrigated2*F$24/Conversions!$B$3*60</f>
        <v>0</v>
      </c>
      <c r="G26" s="260">
        <f>Irrigation_Area2*Days_Irrigated2*G$24/Conversions!$B$3*60</f>
        <v>0</v>
      </c>
      <c r="H26" s="260">
        <f>Irrigation_Area2*Days_Irrigated2*H$24/Conversions!$B$3*60</f>
        <v>0</v>
      </c>
      <c r="I26" s="260">
        <f>Irrigation_Area2*Days_Irrigated2*I$24/Conversions!$B$3*60</f>
        <v>0</v>
      </c>
      <c r="J26" s="260">
        <f>Irrigation_Area2*Days_Irrigated2*J$24/Conversions!$B$3*60</f>
        <v>0</v>
      </c>
      <c r="K26" s="260">
        <f>Irrigation_Area2*Days_Irrigated2*K$24/Conversions!$B$3*60</f>
        <v>0</v>
      </c>
      <c r="L26" s="260">
        <f>Irrigation_Area2*Days_Irrigated2*L$24/Conversions!$B$3*60</f>
        <v>0</v>
      </c>
      <c r="M26" s="260">
        <f>Irrigation_Area2*Days_Irrigated2*M$24/Conversions!$B$3*60</f>
        <v>0</v>
      </c>
      <c r="N26" s="106">
        <f>SUM('Calculation Sheet 5'!$B26:$M26)</f>
        <v>0</v>
      </c>
      <c r="O26" s="2"/>
      <c r="P26" s="3"/>
      <c r="Q26" s="2"/>
    </row>
    <row r="27" spans="1:17" ht="15.75" x14ac:dyDescent="0.25">
      <c r="A27" s="104" t="str">
        <f>'Calculation Sheet 4'!$A27</f>
        <v>Total, Irrigated (Gallons)</v>
      </c>
      <c r="B27" s="106">
        <f>B26*Conversions!$B$4</f>
        <v>0</v>
      </c>
      <c r="C27" s="106">
        <f>C26*Conversions!$B$4</f>
        <v>0</v>
      </c>
      <c r="D27" s="106">
        <f>D26*Conversions!$B$4</f>
        <v>0</v>
      </c>
      <c r="E27" s="106">
        <f>E26*Conversions!$B$4</f>
        <v>0</v>
      </c>
      <c r="F27" s="106">
        <f>F26*Conversions!$B$4</f>
        <v>0</v>
      </c>
      <c r="G27" s="106">
        <f>G26*Conversions!$B$4</f>
        <v>0</v>
      </c>
      <c r="H27" s="106">
        <f>H26*Conversions!$B$4</f>
        <v>0</v>
      </c>
      <c r="I27" s="106">
        <f>I26*Conversions!$B$4</f>
        <v>0</v>
      </c>
      <c r="J27" s="106">
        <f>J26*Conversions!$B$4</f>
        <v>0</v>
      </c>
      <c r="K27" s="106">
        <f>K26*Conversions!$B$4</f>
        <v>0</v>
      </c>
      <c r="L27" s="106">
        <f>L26*Conversions!$B$4</f>
        <v>0</v>
      </c>
      <c r="M27" s="106">
        <f>M26*Conversions!$B$4</f>
        <v>0</v>
      </c>
      <c r="N27" s="106">
        <f>N26*Conversions!$B$4</f>
        <v>0</v>
      </c>
      <c r="O27" s="2"/>
      <c r="P27" s="3"/>
      <c r="Q27" s="2"/>
    </row>
    <row r="28" spans="1:17" x14ac:dyDescent="0.25">
      <c r="A28" s="43"/>
      <c r="B28" s="17"/>
      <c r="C28" s="252"/>
      <c r="D28" s="252"/>
      <c r="E28" s="252"/>
      <c r="F28" s="252"/>
      <c r="G28" s="252"/>
      <c r="H28" s="252"/>
      <c r="I28" s="252"/>
      <c r="J28" s="252"/>
      <c r="K28" s="252"/>
      <c r="L28" s="252"/>
      <c r="M28" s="252"/>
      <c r="N28" s="252"/>
    </row>
    <row r="29" spans="1:17" ht="18.75" x14ac:dyDescent="0.3">
      <c r="A29" s="21" t="s">
        <v>93</v>
      </c>
      <c r="B29" s="17"/>
      <c r="C29" s="17"/>
      <c r="D29" s="17"/>
      <c r="E29" s="17"/>
      <c r="F29" s="17"/>
      <c r="G29" s="17"/>
      <c r="H29" s="17"/>
      <c r="I29" s="17"/>
      <c r="J29" s="17"/>
      <c r="K29" s="17"/>
      <c r="L29" s="17"/>
      <c r="M29" s="17"/>
      <c r="N29" s="17"/>
    </row>
    <row r="30" spans="1:17" x14ac:dyDescent="0.25">
      <c r="A30" s="125" t="s">
        <v>84</v>
      </c>
      <c r="B30" s="126" t="s">
        <v>63</v>
      </c>
      <c r="C30" s="126" t="s">
        <v>64</v>
      </c>
      <c r="D30" s="126" t="s">
        <v>65</v>
      </c>
      <c r="E30" s="126" t="s">
        <v>66</v>
      </c>
      <c r="F30" s="126" t="s">
        <v>67</v>
      </c>
      <c r="G30" s="126" t="s">
        <v>68</v>
      </c>
      <c r="H30" s="126" t="s">
        <v>69</v>
      </c>
      <c r="I30" s="126" t="s">
        <v>70</v>
      </c>
      <c r="J30" s="126" t="s">
        <v>71</v>
      </c>
      <c r="K30" s="126" t="s">
        <v>72</v>
      </c>
      <c r="L30" s="126" t="s">
        <v>73</v>
      </c>
      <c r="M30" s="126" t="s">
        <v>74</v>
      </c>
      <c r="N30" s="126" t="s">
        <v>77</v>
      </c>
    </row>
    <row r="31" spans="1:17" x14ac:dyDescent="0.25">
      <c r="A31" s="109" t="s">
        <v>96</v>
      </c>
      <c r="B31" s="110">
        <f>IFERROR(INDEX(Assumptions!$A$26:$B$31, MATCH('Calculation Sheet 5'!$H$3,TypeStockC,0),2),0)</f>
        <v>0</v>
      </c>
      <c r="C31" s="110">
        <f>IFERROR(INDEX(Assumptions!$A$26:$B$31, MATCH('Calculation Sheet 5'!$H$3,TypeStockC,0),2),0)</f>
        <v>0</v>
      </c>
      <c r="D31" s="110">
        <f>IFERROR(INDEX(Assumptions!$A$26:$B$31, MATCH('Calculation Sheet 5'!$H$3,TypeStockC,0),2),0)</f>
        <v>0</v>
      </c>
      <c r="E31" s="110">
        <f>IFERROR(INDEX(Assumptions!$A$26:$B$31, MATCH('Calculation Sheet 5'!$H$3,TypeStockC,0),2),0)</f>
        <v>0</v>
      </c>
      <c r="F31" s="110">
        <f>IFERROR(INDEX(Assumptions!$A$26:$B$31, MATCH('Calculation Sheet 5'!$H$3,TypeStockC,0),2),0)</f>
        <v>0</v>
      </c>
      <c r="G31" s="110">
        <f>IFERROR(INDEX(Assumptions!$A$26:$B$31, MATCH('Calculation Sheet 5'!$H$3,TypeStockC,0),2),0)</f>
        <v>0</v>
      </c>
      <c r="H31" s="110">
        <f>IFERROR(INDEX(Assumptions!$A$26:$B$31, MATCH('Calculation Sheet 5'!$H$3,TypeStockC,0),2),0)</f>
        <v>0</v>
      </c>
      <c r="I31" s="110">
        <f>IFERROR(INDEX(Assumptions!$A$26:$B$31, MATCH('Calculation Sheet 5'!$H$3,TypeStockC,0),2),0)</f>
        <v>0</v>
      </c>
      <c r="J31" s="110">
        <f>IFERROR(INDEX(Assumptions!$A$26:$B$31, MATCH('Calculation Sheet 5'!$H$3,TypeStockC,0),2),0)</f>
        <v>0</v>
      </c>
      <c r="K31" s="110">
        <f>IFERROR(INDEX(Assumptions!$A$26:$B$31, MATCH('Calculation Sheet 5'!$H$3,TypeStockC,0),2),0)</f>
        <v>0</v>
      </c>
      <c r="L31" s="110">
        <f>IFERROR(INDEX(Assumptions!$A$26:$B$31, MATCH('Calculation Sheet 5'!$H$3,TypeStockC,0),2),0)</f>
        <v>0</v>
      </c>
      <c r="M31" s="110">
        <f>IFERROR(INDEX(Assumptions!$A$26:$B$31, MATCH('Calculation Sheet 5'!$H$3,TypeStockC,0),2),0)</f>
        <v>0</v>
      </c>
      <c r="N31" s="111"/>
    </row>
    <row r="32" spans="1:17" x14ac:dyDescent="0.25">
      <c r="A32" s="112" t="s">
        <v>86</v>
      </c>
      <c r="B32" s="78">
        <f>'Entry Sheet'!B49</f>
        <v>0</v>
      </c>
      <c r="C32" s="78">
        <f>'Entry Sheet'!C49</f>
        <v>0</v>
      </c>
      <c r="D32" s="78">
        <f>'Entry Sheet'!D49</f>
        <v>0</v>
      </c>
      <c r="E32" s="78">
        <f>'Entry Sheet'!E49</f>
        <v>0</v>
      </c>
      <c r="F32" s="78">
        <f>'Entry Sheet'!F49</f>
        <v>0</v>
      </c>
      <c r="G32" s="78">
        <f>'Entry Sheet'!G49</f>
        <v>0</v>
      </c>
      <c r="H32" s="78">
        <f>'Entry Sheet'!H49</f>
        <v>0</v>
      </c>
      <c r="I32" s="78">
        <f>'Entry Sheet'!I49</f>
        <v>0</v>
      </c>
      <c r="J32" s="78">
        <f>'Entry Sheet'!J49</f>
        <v>0</v>
      </c>
      <c r="K32" s="78">
        <f>'Entry Sheet'!K49</f>
        <v>0</v>
      </c>
      <c r="L32" s="78">
        <f>'Entry Sheet'!L49</f>
        <v>0</v>
      </c>
      <c r="M32" s="78">
        <f>'Entry Sheet'!M49</f>
        <v>0</v>
      </c>
      <c r="N32" s="113">
        <f>SUM('Calculation Sheet 5'!$B32:$M32)</f>
        <v>0</v>
      </c>
    </row>
    <row r="33" spans="1:15" ht="15.75" x14ac:dyDescent="0.25">
      <c r="A33" s="114" t="s">
        <v>265</v>
      </c>
      <c r="B33" s="115">
        <f>B$31*$H$4*Days_Stockwatering2/Conversions!$B$3</f>
        <v>0</v>
      </c>
      <c r="C33" s="115">
        <f>C$31*$H$4*Days_Stockwatering2/Conversions!$B$3</f>
        <v>0</v>
      </c>
      <c r="D33" s="115">
        <f>D$31*$H$4*Days_Stockwatering2/Conversions!$B$3</f>
        <v>0</v>
      </c>
      <c r="E33" s="115">
        <f>E$31*$H$4*Days_Stockwatering2/Conversions!$B$3</f>
        <v>0</v>
      </c>
      <c r="F33" s="115">
        <f>F$31*$H$4*Days_Stockwatering2/Conversions!$B$3</f>
        <v>0</v>
      </c>
      <c r="G33" s="115">
        <f>G$31*$H$4*Days_Stockwatering2/Conversions!$B$3</f>
        <v>0</v>
      </c>
      <c r="H33" s="115">
        <f>H$31*$H$4*Days_Stockwatering2/Conversions!$B$3</f>
        <v>0</v>
      </c>
      <c r="I33" s="115">
        <f>I$31*$H$4*Days_Stockwatering2/Conversions!$B$3</f>
        <v>0</v>
      </c>
      <c r="J33" s="115">
        <f>J$31*$H$4*Days_Stockwatering2/Conversions!$B$3</f>
        <v>0</v>
      </c>
      <c r="K33" s="115">
        <f>K$31*$H$4*Days_Stockwatering2/Conversions!$B$3</f>
        <v>0</v>
      </c>
      <c r="L33" s="115">
        <f>L$31*$H$4*Days_Stockwatering2/Conversions!$B$3</f>
        <v>0</v>
      </c>
      <c r="M33" s="115">
        <f>M$31*$H$4*Days_Stockwatering2/Conversions!$B$3</f>
        <v>0</v>
      </c>
      <c r="N33" s="115">
        <f>SUM('Calculation Sheet 5'!$B33:$M33)</f>
        <v>0</v>
      </c>
    </row>
    <row r="34" spans="1:15" ht="15.75" x14ac:dyDescent="0.25">
      <c r="A34" s="114" t="s">
        <v>268</v>
      </c>
      <c r="B34" s="248">
        <f>B33*Conversions!$B$4</f>
        <v>0</v>
      </c>
      <c r="C34" s="248">
        <f>C33*Conversions!$B$4</f>
        <v>0</v>
      </c>
      <c r="D34" s="248">
        <f>D33*Conversions!$B$4</f>
        <v>0</v>
      </c>
      <c r="E34" s="248">
        <f>E33*Conversions!$B$4</f>
        <v>0</v>
      </c>
      <c r="F34" s="248">
        <f>F33*Conversions!$B$4</f>
        <v>0</v>
      </c>
      <c r="G34" s="248">
        <f>G33*Conversions!$B$4</f>
        <v>0</v>
      </c>
      <c r="H34" s="248">
        <f>H33*Conversions!$B$4</f>
        <v>0</v>
      </c>
      <c r="I34" s="248">
        <f>I33*Conversions!$B$4</f>
        <v>0</v>
      </c>
      <c r="J34" s="248">
        <f>J33*Conversions!$B$4</f>
        <v>0</v>
      </c>
      <c r="K34" s="248">
        <f>K33*Conversions!$B$4</f>
        <v>0</v>
      </c>
      <c r="L34" s="248">
        <f>L33*Conversions!$B$4</f>
        <v>0</v>
      </c>
      <c r="M34" s="248">
        <f>M33*Conversions!$B$4</f>
        <v>0</v>
      </c>
      <c r="N34" s="248">
        <f>N33*Conversions!$B$4</f>
        <v>0</v>
      </c>
      <c r="O34" s="44"/>
    </row>
    <row r="35" spans="1:15" x14ac:dyDescent="0.25">
      <c r="E35"/>
      <c r="J35"/>
    </row>
    <row r="36" spans="1:15" x14ac:dyDescent="0.25">
      <c r="E36"/>
      <c r="J36"/>
    </row>
    <row r="37" spans="1:15" x14ac:dyDescent="0.25">
      <c r="E37"/>
      <c r="J37"/>
    </row>
    <row r="38" spans="1:15" s="47" customFormat="1" ht="15.75" x14ac:dyDescent="0.25">
      <c r="A38" s="45"/>
      <c r="B38" s="45"/>
      <c r="C38" s="45"/>
      <c r="D38" s="45"/>
      <c r="E38" s="45"/>
      <c r="F38" s="45"/>
      <c r="G38" s="45"/>
      <c r="H38" s="45"/>
      <c r="I38" s="45"/>
      <c r="J38" s="45"/>
      <c r="K38" s="45"/>
      <c r="L38" s="45"/>
      <c r="M38" s="45"/>
      <c r="N38" s="45"/>
      <c r="O38" s="46"/>
    </row>
    <row r="39" spans="1:15" ht="21" x14ac:dyDescent="0.35">
      <c r="A39" s="23" t="s">
        <v>99</v>
      </c>
      <c r="B39" s="18"/>
      <c r="C39" s="18"/>
      <c r="D39" s="18"/>
      <c r="E39" s="18"/>
      <c r="F39" s="18"/>
      <c r="G39" s="18"/>
      <c r="H39" s="18"/>
      <c r="I39" s="18"/>
      <c r="J39" s="19"/>
      <c r="K39" s="18"/>
      <c r="L39" s="18"/>
      <c r="M39" s="18"/>
      <c r="N39" s="18"/>
    </row>
    <row r="40" spans="1:15" x14ac:dyDescent="0.25">
      <c r="A40" s="127" t="s">
        <v>84</v>
      </c>
      <c r="B40" s="128" t="s">
        <v>63</v>
      </c>
      <c r="C40" s="128" t="s">
        <v>64</v>
      </c>
      <c r="D40" s="128" t="s">
        <v>65</v>
      </c>
      <c r="E40" s="128" t="s">
        <v>66</v>
      </c>
      <c r="F40" s="128" t="s">
        <v>67</v>
      </c>
      <c r="G40" s="128" t="s">
        <v>68</v>
      </c>
      <c r="H40" s="128" t="s">
        <v>69</v>
      </c>
      <c r="I40" s="128" t="s">
        <v>70</v>
      </c>
      <c r="J40" s="128" t="s">
        <v>71</v>
      </c>
      <c r="K40" s="128" t="s">
        <v>72</v>
      </c>
      <c r="L40" s="128" t="s">
        <v>73</v>
      </c>
      <c r="M40" s="128" t="s">
        <v>74</v>
      </c>
      <c r="N40" s="129" t="s">
        <v>77</v>
      </c>
    </row>
    <row r="41" spans="1:15" x14ac:dyDescent="0.25">
      <c r="A41" s="119" t="s">
        <v>100</v>
      </c>
      <c r="B41" s="304">
        <f t="shared" ref="B41:M41" si="0">SUMIFS(B$13:B$40, $A$13:$A$40,"*Total*",$A$13:$A$40, "*AF*")</f>
        <v>0</v>
      </c>
      <c r="C41" s="304">
        <f t="shared" si="0"/>
        <v>0</v>
      </c>
      <c r="D41" s="304">
        <f t="shared" si="0"/>
        <v>0</v>
      </c>
      <c r="E41" s="304">
        <f t="shared" si="0"/>
        <v>0</v>
      </c>
      <c r="F41" s="304">
        <f t="shared" si="0"/>
        <v>0</v>
      </c>
      <c r="G41" s="304">
        <f t="shared" si="0"/>
        <v>0</v>
      </c>
      <c r="H41" s="304">
        <f t="shared" si="0"/>
        <v>0</v>
      </c>
      <c r="I41" s="304">
        <f t="shared" si="0"/>
        <v>0</v>
      </c>
      <c r="J41" s="304">
        <f t="shared" si="0"/>
        <v>0</v>
      </c>
      <c r="K41" s="304">
        <f t="shared" si="0"/>
        <v>0</v>
      </c>
      <c r="L41" s="304">
        <f t="shared" si="0"/>
        <v>0</v>
      </c>
      <c r="M41" s="304">
        <f t="shared" si="0"/>
        <v>0</v>
      </c>
      <c r="N41" s="305">
        <f>SUM('Calculation Sheet 5'!$B41:$M41)</f>
        <v>0</v>
      </c>
    </row>
    <row r="42" spans="1:15" ht="15.75" thickBot="1" x14ac:dyDescent="0.3">
      <c r="A42" s="120" t="s">
        <v>101</v>
      </c>
      <c r="B42" s="306">
        <f>B41*Conversions!$B$4</f>
        <v>0</v>
      </c>
      <c r="C42" s="306">
        <f>C41*Conversions!$B$4</f>
        <v>0</v>
      </c>
      <c r="D42" s="306">
        <f>D41*Conversions!$B$4</f>
        <v>0</v>
      </c>
      <c r="E42" s="306">
        <f>E41*Conversions!$B$4</f>
        <v>0</v>
      </c>
      <c r="F42" s="306">
        <f>F41*Conversions!$B$4</f>
        <v>0</v>
      </c>
      <c r="G42" s="306">
        <f>G41*Conversions!$B$4</f>
        <v>0</v>
      </c>
      <c r="H42" s="306">
        <f>H41*Conversions!$B$4</f>
        <v>0</v>
      </c>
      <c r="I42" s="306">
        <f>I41*Conversions!$B$4</f>
        <v>0</v>
      </c>
      <c r="J42" s="306">
        <f>J41*Conversions!$B$4</f>
        <v>0</v>
      </c>
      <c r="K42" s="306">
        <f>K41*Conversions!$B$4</f>
        <v>0</v>
      </c>
      <c r="L42" s="306">
        <f>L41*Conversions!$B$4</f>
        <v>0</v>
      </c>
      <c r="M42" s="306">
        <f>M41*Conversions!$B$4</f>
        <v>0</v>
      </c>
      <c r="N42" s="307">
        <f>N41*Conversions!$B$4</f>
        <v>0</v>
      </c>
    </row>
    <row r="43" spans="1:15" x14ac:dyDescent="0.25">
      <c r="A43" s="18"/>
      <c r="B43" s="18"/>
      <c r="C43" s="18"/>
      <c r="D43" s="18"/>
      <c r="E43" s="18"/>
      <c r="F43" s="18"/>
      <c r="G43" s="18"/>
      <c r="H43" s="18"/>
      <c r="I43" s="18"/>
      <c r="J43" s="19"/>
      <c r="K43" s="18"/>
      <c r="L43" s="18"/>
      <c r="M43" s="18"/>
      <c r="N43" s="18"/>
    </row>
    <row r="44" spans="1:15" x14ac:dyDescent="0.25">
      <c r="E44"/>
    </row>
    <row r="45" spans="1:15" x14ac:dyDescent="0.25">
      <c r="E45"/>
    </row>
    <row r="46" spans="1:15" x14ac:dyDescent="0.25">
      <c r="E46"/>
    </row>
    <row r="47" spans="1:15" x14ac:dyDescent="0.25">
      <c r="E47"/>
    </row>
    <row r="48" spans="1:1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sheetData>
  <sheetProtection formatColumns="0" formatRows="0" insertColumns="0" insertRows="0" insertHyperlinks="0" deleteColumns="0" deleteRows="0" sort="0" autoFilter="0" pivotTables="0"/>
  <customSheetViews>
    <customSheetView guid="{A3E8C8DD-8C60-4C83-AE95-312CF58B6ABA}" topLeftCell="A7">
      <selection activeCell="E37" sqref="E37"/>
      <pageMargins left="0.7" right="0.7" top="0.75" bottom="0.75" header="0.3" footer="0.3"/>
      <pageSetup orientation="portrait" r:id="rId1"/>
    </customSheetView>
  </customSheetViews>
  <mergeCells count="3">
    <mergeCell ref="A2:B2"/>
    <mergeCell ref="D2:E2"/>
    <mergeCell ref="G2:H2"/>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50"/>
  </sheetPr>
  <dimension ref="A1:AA55"/>
  <sheetViews>
    <sheetView topLeftCell="A13" workbookViewId="0">
      <selection activeCell="B25" sqref="B25"/>
    </sheetView>
  </sheetViews>
  <sheetFormatPr defaultRowHeight="15" x14ac:dyDescent="0.25"/>
  <cols>
    <col min="1" max="1" width="39.28515625" bestFit="1" customWidth="1"/>
    <col min="2" max="2" width="20.7109375" customWidth="1"/>
    <col min="3" max="3" width="13.28515625" bestFit="1" customWidth="1"/>
    <col min="4" max="4" width="17.28515625" bestFit="1" customWidth="1"/>
    <col min="5" max="5" width="13.28515625" bestFit="1" customWidth="1"/>
    <col min="6" max="6" width="12.140625" customWidth="1"/>
    <col min="7" max="7" width="17.85546875" bestFit="1" customWidth="1"/>
    <col min="8" max="8" width="12.42578125" customWidth="1"/>
    <col min="9" max="9" width="13.28515625" bestFit="1" customWidth="1"/>
    <col min="10" max="10" width="17.5703125" customWidth="1"/>
    <col min="11" max="11" width="13.28515625" bestFit="1" customWidth="1"/>
    <col min="12" max="12" width="9.85546875" bestFit="1" customWidth="1"/>
    <col min="13" max="13" width="13.28515625" bestFit="1" customWidth="1"/>
    <col min="14" max="14" width="16.85546875" bestFit="1" customWidth="1"/>
  </cols>
  <sheetData>
    <row r="1" spans="1:27" ht="15.75" x14ac:dyDescent="0.25">
      <c r="A1" s="131" t="s">
        <v>115</v>
      </c>
      <c r="B1" s="132"/>
      <c r="C1" s="132"/>
      <c r="D1" s="132"/>
      <c r="E1" s="133"/>
      <c r="F1" s="132"/>
      <c r="G1" s="132"/>
      <c r="H1" s="132"/>
      <c r="I1" s="132"/>
      <c r="J1" s="134" t="s">
        <v>168</v>
      </c>
      <c r="K1" s="319" t="s">
        <v>24</v>
      </c>
      <c r="L1" s="319"/>
      <c r="M1" s="319"/>
      <c r="N1" s="319"/>
      <c r="O1" s="319"/>
      <c r="P1" s="319"/>
      <c r="Q1" s="319"/>
      <c r="R1" s="319"/>
      <c r="S1" s="319"/>
      <c r="T1" s="319"/>
      <c r="U1" s="132"/>
      <c r="V1" s="132"/>
      <c r="W1" s="132"/>
      <c r="X1" s="132"/>
      <c r="Y1" s="132"/>
      <c r="Z1" s="132"/>
      <c r="AA1" s="132"/>
    </row>
    <row r="2" spans="1:27" ht="15.75" x14ac:dyDescent="0.25">
      <c r="A2" s="135" t="s">
        <v>50</v>
      </c>
      <c r="B2" s="136"/>
      <c r="C2" s="132"/>
      <c r="D2" s="137" t="s">
        <v>76</v>
      </c>
      <c r="E2" s="138"/>
      <c r="F2" s="132"/>
      <c r="G2" s="139" t="s">
        <v>87</v>
      </c>
      <c r="H2" s="140"/>
      <c r="I2" s="132"/>
      <c r="J2" s="132" t="s">
        <v>169</v>
      </c>
      <c r="K2" s="322" t="s">
        <v>170</v>
      </c>
      <c r="L2" s="322"/>
      <c r="M2" s="322"/>
      <c r="N2" s="322"/>
      <c r="O2" s="322"/>
      <c r="P2" s="322"/>
      <c r="Q2" s="322"/>
      <c r="R2" s="322"/>
      <c r="S2" s="322"/>
      <c r="T2" s="322"/>
      <c r="U2" s="322"/>
      <c r="V2" s="132"/>
      <c r="W2" s="132"/>
      <c r="X2" s="132"/>
      <c r="Y2" s="132"/>
      <c r="Z2" s="132"/>
      <c r="AA2" s="132"/>
    </row>
    <row r="3" spans="1:27" ht="15.75" customHeight="1" x14ac:dyDescent="0.25">
      <c r="A3" s="141" t="s">
        <v>78</v>
      </c>
      <c r="B3" s="142"/>
      <c r="C3" s="132"/>
      <c r="D3" s="143" t="s">
        <v>262</v>
      </c>
      <c r="E3" s="144"/>
      <c r="F3" s="132"/>
      <c r="G3" s="145" t="s">
        <v>125</v>
      </c>
      <c r="H3" s="142"/>
      <c r="I3" s="132"/>
      <c r="J3" s="132" t="s">
        <v>171</v>
      </c>
      <c r="K3" s="321" t="s">
        <v>172</v>
      </c>
      <c r="L3" s="321"/>
      <c r="M3" s="321"/>
      <c r="N3" s="321"/>
      <c r="O3" s="321"/>
      <c r="P3" s="321"/>
      <c r="Q3" s="321"/>
      <c r="R3" s="321"/>
      <c r="S3" s="321"/>
      <c r="T3" s="321"/>
      <c r="U3" s="132"/>
      <c r="V3" s="132"/>
      <c r="W3" s="132"/>
      <c r="X3" s="132"/>
      <c r="Y3" s="132"/>
      <c r="Z3" s="132"/>
      <c r="AA3" s="132"/>
    </row>
    <row r="4" spans="1:27" x14ac:dyDescent="0.25">
      <c r="A4" s="146" t="s">
        <v>52</v>
      </c>
      <c r="B4" s="142"/>
      <c r="C4" s="133"/>
      <c r="D4" s="147" t="s">
        <v>133</v>
      </c>
      <c r="E4" s="148"/>
      <c r="F4" s="132"/>
      <c r="G4" s="145" t="s">
        <v>126</v>
      </c>
      <c r="H4" s="142"/>
      <c r="I4" s="132"/>
      <c r="J4" s="132" t="s">
        <v>173</v>
      </c>
      <c r="K4" s="320" t="s">
        <v>173</v>
      </c>
      <c r="L4" s="320"/>
      <c r="M4" s="320"/>
      <c r="N4" s="320"/>
      <c r="O4" s="320"/>
      <c r="P4" s="320"/>
      <c r="Q4" s="320"/>
      <c r="R4" s="320"/>
      <c r="S4" s="320"/>
      <c r="T4" s="320"/>
      <c r="U4" s="132"/>
      <c r="V4" s="132"/>
      <c r="W4" s="132"/>
      <c r="X4" s="132"/>
      <c r="Y4" s="132"/>
      <c r="Z4" s="132"/>
      <c r="AA4" s="132"/>
    </row>
    <row r="5" spans="1:27" x14ac:dyDescent="0.25">
      <c r="A5" s="152" t="s">
        <v>136</v>
      </c>
      <c r="B5" s="153"/>
      <c r="C5" s="133"/>
      <c r="D5" s="147" t="s">
        <v>134</v>
      </c>
      <c r="E5" s="142"/>
      <c r="F5" s="132"/>
      <c r="G5" s="149" t="s">
        <v>127</v>
      </c>
      <c r="H5" s="150"/>
      <c r="I5" s="132"/>
      <c r="J5" s="132" t="s">
        <v>174</v>
      </c>
      <c r="K5" s="321" t="s">
        <v>174</v>
      </c>
      <c r="L5" s="321"/>
      <c r="M5" s="321"/>
      <c r="N5" s="321"/>
      <c r="O5" s="321"/>
      <c r="P5" s="321"/>
      <c r="Q5" s="321"/>
      <c r="R5" s="321"/>
      <c r="S5" s="321"/>
      <c r="T5" s="321"/>
      <c r="U5" s="151"/>
      <c r="V5" s="151"/>
      <c r="W5" s="151"/>
      <c r="X5" s="132"/>
      <c r="Y5" s="132"/>
      <c r="Z5" s="132"/>
      <c r="AA5" s="132"/>
    </row>
    <row r="6" spans="1:27" x14ac:dyDescent="0.25">
      <c r="A6" s="158" t="s">
        <v>81</v>
      </c>
      <c r="B6" s="150"/>
      <c r="C6" s="154"/>
      <c r="D6" s="147" t="s">
        <v>135</v>
      </c>
      <c r="E6" s="148"/>
      <c r="F6" s="155"/>
      <c r="G6" s="156" t="s">
        <v>130</v>
      </c>
      <c r="H6" s="157"/>
      <c r="I6" s="132"/>
      <c r="J6" s="132" t="s">
        <v>175</v>
      </c>
      <c r="K6" s="321" t="s">
        <v>176</v>
      </c>
      <c r="L6" s="321"/>
      <c r="M6" s="321"/>
      <c r="N6" s="321"/>
      <c r="O6" s="321"/>
      <c r="P6" s="321"/>
      <c r="Q6" s="321"/>
      <c r="R6" s="321"/>
      <c r="S6" s="321"/>
      <c r="T6" s="321"/>
      <c r="U6" s="151"/>
      <c r="V6" s="151"/>
      <c r="W6" s="151"/>
      <c r="X6" s="132"/>
      <c r="Y6" s="132"/>
      <c r="Z6" s="132"/>
      <c r="AA6" s="132"/>
    </row>
    <row r="7" spans="1:27" x14ac:dyDescent="0.25">
      <c r="A7" s="145" t="s">
        <v>137</v>
      </c>
      <c r="B7" s="142"/>
      <c r="C7" s="154"/>
      <c r="D7" s="147" t="s">
        <v>140</v>
      </c>
      <c r="E7" s="142"/>
      <c r="F7" s="155"/>
      <c r="G7" s="156" t="s">
        <v>128</v>
      </c>
      <c r="H7" s="159"/>
      <c r="I7" s="132"/>
      <c r="J7" s="132" t="s">
        <v>177</v>
      </c>
      <c r="K7" s="321" t="s">
        <v>178</v>
      </c>
      <c r="L7" s="321"/>
      <c r="M7" s="321"/>
      <c r="N7" s="321"/>
      <c r="O7" s="321"/>
      <c r="P7" s="321"/>
      <c r="Q7" s="321"/>
      <c r="R7" s="321"/>
      <c r="S7" s="321"/>
      <c r="T7" s="321"/>
      <c r="U7" s="151"/>
      <c r="V7" s="151"/>
      <c r="W7" s="151"/>
      <c r="X7" s="132"/>
      <c r="Y7" s="132"/>
      <c r="Z7" s="132"/>
      <c r="AA7" s="132"/>
    </row>
    <row r="8" spans="1:27" x14ac:dyDescent="0.25">
      <c r="A8" s="145" t="s">
        <v>130</v>
      </c>
      <c r="B8" s="142"/>
      <c r="C8" s="154"/>
      <c r="D8" s="147" t="s">
        <v>141</v>
      </c>
      <c r="E8" s="148"/>
      <c r="F8" s="155"/>
      <c r="G8" s="156" t="s">
        <v>131</v>
      </c>
      <c r="H8" s="157"/>
      <c r="I8" s="132"/>
      <c r="J8" s="132" t="s">
        <v>179</v>
      </c>
      <c r="K8" s="321" t="s">
        <v>179</v>
      </c>
      <c r="L8" s="321"/>
      <c r="M8" s="321"/>
      <c r="N8" s="321"/>
      <c r="O8" s="321"/>
      <c r="P8" s="321"/>
      <c r="Q8" s="321"/>
      <c r="R8" s="321"/>
      <c r="S8" s="321"/>
      <c r="T8" s="321"/>
      <c r="U8" s="151"/>
      <c r="V8" s="151"/>
      <c r="W8" s="151"/>
      <c r="X8" s="132"/>
      <c r="Y8" s="132"/>
      <c r="Z8" s="132"/>
      <c r="AA8" s="132"/>
    </row>
    <row r="9" spans="1:27" x14ac:dyDescent="0.25">
      <c r="A9" s="145" t="s">
        <v>138</v>
      </c>
      <c r="B9" s="142"/>
      <c r="C9" s="154"/>
      <c r="D9" s="147" t="s">
        <v>142</v>
      </c>
      <c r="E9" s="142"/>
      <c r="F9" s="155"/>
      <c r="G9" s="156" t="s">
        <v>129</v>
      </c>
      <c r="H9" s="159"/>
      <c r="I9" s="132"/>
      <c r="J9" s="132" t="s">
        <v>180</v>
      </c>
      <c r="K9" s="321" t="s">
        <v>181</v>
      </c>
      <c r="L9" s="321"/>
      <c r="M9" s="321"/>
      <c r="N9" s="321"/>
      <c r="O9" s="321"/>
      <c r="P9" s="321"/>
      <c r="Q9" s="321"/>
      <c r="R9" s="321"/>
      <c r="S9" s="321"/>
      <c r="T9" s="321"/>
      <c r="U9" s="321"/>
      <c r="V9" s="151"/>
      <c r="W9" s="151"/>
      <c r="X9" s="132"/>
      <c r="Y9" s="132"/>
      <c r="Z9" s="132"/>
      <c r="AA9" s="132"/>
    </row>
    <row r="10" spans="1:27" x14ac:dyDescent="0.25">
      <c r="A10" s="145" t="s">
        <v>131</v>
      </c>
      <c r="B10" s="142"/>
      <c r="C10" s="154"/>
      <c r="D10" s="147" t="s">
        <v>143</v>
      </c>
      <c r="E10" s="148"/>
      <c r="F10" s="155"/>
      <c r="G10" s="160" t="s">
        <v>132</v>
      </c>
      <c r="H10" s="161"/>
      <c r="I10" s="132"/>
      <c r="J10" s="132" t="s">
        <v>182</v>
      </c>
      <c r="K10" s="321" t="s">
        <v>183</v>
      </c>
      <c r="L10" s="321"/>
      <c r="M10" s="321"/>
      <c r="N10" s="321"/>
      <c r="O10" s="321"/>
      <c r="P10" s="321"/>
      <c r="Q10" s="321"/>
      <c r="R10" s="321"/>
      <c r="S10" s="321"/>
      <c r="T10" s="321"/>
      <c r="U10" s="321"/>
      <c r="V10" s="151"/>
      <c r="W10" s="151"/>
      <c r="X10" s="132"/>
      <c r="Y10" s="132"/>
      <c r="Z10" s="132"/>
      <c r="AA10" s="132"/>
    </row>
    <row r="11" spans="1:27" x14ac:dyDescent="0.25">
      <c r="A11" s="163" t="s">
        <v>139</v>
      </c>
      <c r="B11" s="298"/>
      <c r="C11" s="154"/>
      <c r="D11" s="164" t="s">
        <v>144</v>
      </c>
      <c r="E11" s="299"/>
      <c r="F11" s="155"/>
      <c r="G11" s="166" t="s">
        <v>157</v>
      </c>
      <c r="H11" s="300"/>
      <c r="I11" s="162"/>
      <c r="J11" s="132" t="s">
        <v>184</v>
      </c>
      <c r="K11" s="151" t="s">
        <v>185</v>
      </c>
      <c r="L11" s="151"/>
      <c r="M11" s="151"/>
      <c r="N11" s="151"/>
      <c r="O11" s="151"/>
      <c r="P11" s="151"/>
      <c r="Q11" s="151"/>
      <c r="R11" s="151"/>
      <c r="S11" s="151"/>
      <c r="T11" s="151"/>
      <c r="U11" s="151"/>
      <c r="V11" s="151"/>
      <c r="W11" s="151"/>
      <c r="X11" s="151"/>
      <c r="Y11" s="132"/>
      <c r="Z11" s="132"/>
      <c r="AA11" s="132"/>
    </row>
    <row r="12" spans="1:27" x14ac:dyDescent="0.25">
      <c r="A12" s="152" t="s">
        <v>132</v>
      </c>
      <c r="B12" s="168"/>
      <c r="C12" s="154"/>
      <c r="D12" s="164" t="s">
        <v>145</v>
      </c>
      <c r="E12" s="165"/>
      <c r="F12" s="155"/>
      <c r="G12" s="166" t="s">
        <v>158</v>
      </c>
      <c r="H12" s="167"/>
      <c r="I12" s="162"/>
      <c r="J12" s="132" t="s">
        <v>199</v>
      </c>
      <c r="K12" s="321" t="s">
        <v>186</v>
      </c>
      <c r="L12" s="321"/>
      <c r="M12" s="321"/>
      <c r="N12" s="321"/>
      <c r="O12" s="321"/>
      <c r="P12" s="321"/>
      <c r="Q12" s="321"/>
      <c r="R12" s="321"/>
      <c r="S12" s="321"/>
      <c r="T12" s="321"/>
      <c r="U12" s="321"/>
      <c r="V12" s="321"/>
      <c r="W12" s="321"/>
      <c r="X12" s="132"/>
      <c r="Y12" s="132"/>
      <c r="Z12" s="132"/>
      <c r="AA12" s="132"/>
    </row>
    <row r="13" spans="1:27" x14ac:dyDescent="0.25">
      <c r="A13" s="170" t="s">
        <v>160</v>
      </c>
      <c r="B13" s="148"/>
      <c r="C13" s="154"/>
      <c r="D13" s="147" t="s">
        <v>146</v>
      </c>
      <c r="E13" s="142"/>
      <c r="F13" s="155"/>
      <c r="G13" s="169"/>
      <c r="H13" s="169"/>
      <c r="I13" s="162"/>
      <c r="J13" s="132" t="s">
        <v>200</v>
      </c>
      <c r="K13" s="321" t="s">
        <v>187</v>
      </c>
      <c r="L13" s="321"/>
      <c r="M13" s="321"/>
      <c r="N13" s="321"/>
      <c r="O13" s="321"/>
      <c r="P13" s="321"/>
      <c r="Q13" s="321"/>
      <c r="R13" s="321"/>
      <c r="S13" s="321"/>
      <c r="T13" s="321"/>
      <c r="U13" s="321"/>
      <c r="V13" s="321"/>
      <c r="W13" s="151"/>
      <c r="X13" s="132"/>
      <c r="Y13" s="132"/>
      <c r="Z13" s="132"/>
      <c r="AA13" s="132"/>
    </row>
    <row r="14" spans="1:27" x14ac:dyDescent="0.25">
      <c r="A14" s="170" t="s">
        <v>158</v>
      </c>
      <c r="B14" s="168"/>
      <c r="C14" s="154"/>
      <c r="D14" s="132"/>
      <c r="E14" s="132"/>
      <c r="F14" s="155"/>
      <c r="G14" s="169"/>
      <c r="H14" s="169"/>
      <c r="I14" s="162"/>
      <c r="J14" s="132" t="s">
        <v>201</v>
      </c>
      <c r="K14" s="321" t="s">
        <v>188</v>
      </c>
      <c r="L14" s="321"/>
      <c r="M14" s="321"/>
      <c r="N14" s="321"/>
      <c r="O14" s="321"/>
      <c r="P14" s="321"/>
      <c r="Q14" s="321"/>
      <c r="R14" s="321"/>
      <c r="S14" s="321"/>
      <c r="T14" s="321"/>
      <c r="U14" s="321"/>
      <c r="V14" s="321"/>
      <c r="W14" s="151"/>
      <c r="X14" s="132"/>
      <c r="Y14" s="132"/>
      <c r="Z14" s="132"/>
      <c r="AA14" s="132"/>
    </row>
    <row r="15" spans="1:27" x14ac:dyDescent="0.25">
      <c r="A15" s="152" t="s">
        <v>147</v>
      </c>
      <c r="B15" s="142"/>
      <c r="C15" s="154"/>
      <c r="D15" s="132"/>
      <c r="E15" s="132"/>
      <c r="F15" s="155"/>
      <c r="G15" s="169"/>
      <c r="H15" s="169"/>
      <c r="I15" s="162"/>
      <c r="J15" s="132" t="s">
        <v>189</v>
      </c>
      <c r="K15" s="321" t="s">
        <v>189</v>
      </c>
      <c r="L15" s="321"/>
      <c r="M15" s="321"/>
      <c r="N15" s="321"/>
      <c r="O15" s="321"/>
      <c r="P15" s="321"/>
      <c r="Q15" s="321"/>
      <c r="R15" s="321"/>
      <c r="S15" s="321"/>
      <c r="T15" s="321"/>
      <c r="U15" s="321"/>
      <c r="V15" s="321"/>
      <c r="W15" s="151"/>
      <c r="X15" s="132"/>
      <c r="Y15" s="132"/>
      <c r="Z15" s="132"/>
      <c r="AA15" s="132"/>
    </row>
    <row r="16" spans="1:27" x14ac:dyDescent="0.25">
      <c r="C16" s="154"/>
      <c r="D16" s="132"/>
      <c r="E16" s="132"/>
      <c r="F16" s="155"/>
      <c r="G16" s="155"/>
      <c r="H16" s="155"/>
      <c r="I16" s="132"/>
      <c r="J16" s="132" t="s">
        <v>190</v>
      </c>
      <c r="K16" s="132" t="s">
        <v>190</v>
      </c>
      <c r="L16" s="132"/>
      <c r="M16" s="132"/>
      <c r="N16" s="132"/>
      <c r="O16" s="132"/>
      <c r="P16" s="132"/>
      <c r="Q16" s="132"/>
      <c r="R16" s="132"/>
      <c r="S16" s="132"/>
      <c r="T16" s="132"/>
      <c r="U16" s="132"/>
      <c r="V16" s="132"/>
      <c r="W16" s="132"/>
      <c r="X16" s="132"/>
      <c r="Y16" s="132"/>
      <c r="Z16" s="132"/>
      <c r="AA16" s="132"/>
    </row>
    <row r="17" spans="1:27" x14ac:dyDescent="0.25">
      <c r="A17" s="132"/>
      <c r="B17" s="132"/>
      <c r="C17" s="154"/>
      <c r="D17" s="132"/>
      <c r="E17" s="132"/>
      <c r="F17" s="155"/>
      <c r="G17" s="155"/>
      <c r="H17" s="155"/>
      <c r="I17" s="132"/>
      <c r="J17" s="132" t="s">
        <v>191</v>
      </c>
      <c r="K17" s="321" t="s">
        <v>192</v>
      </c>
      <c r="L17" s="321"/>
      <c r="M17" s="321"/>
      <c r="N17" s="321"/>
      <c r="O17" s="321"/>
      <c r="P17" s="321"/>
      <c r="Q17" s="321"/>
      <c r="R17" s="321"/>
      <c r="S17" s="321"/>
      <c r="T17" s="321"/>
      <c r="U17" s="321"/>
      <c r="V17" s="321"/>
      <c r="W17" s="321"/>
      <c r="X17" s="321"/>
      <c r="Y17" s="321"/>
      <c r="Z17" s="321"/>
      <c r="AA17" s="321"/>
    </row>
    <row r="18" spans="1:27" x14ac:dyDescent="0.25">
      <c r="A18" s="155"/>
      <c r="B18" s="171"/>
      <c r="C18" s="154"/>
      <c r="D18" s="132"/>
      <c r="E18" s="132"/>
      <c r="F18" s="155"/>
      <c r="G18" s="155"/>
      <c r="H18" s="155"/>
      <c r="I18" s="132"/>
      <c r="J18" s="132" t="s">
        <v>193</v>
      </c>
      <c r="K18" s="132" t="s">
        <v>193</v>
      </c>
      <c r="L18" s="132"/>
      <c r="M18" s="132"/>
      <c r="N18" s="132"/>
      <c r="O18" s="132"/>
      <c r="P18" s="132"/>
      <c r="Q18" s="132"/>
      <c r="R18" s="132"/>
      <c r="S18" s="132"/>
      <c r="T18" s="132"/>
      <c r="U18" s="132"/>
      <c r="V18" s="132"/>
      <c r="W18" s="132"/>
      <c r="X18" s="132"/>
      <c r="Y18" s="132"/>
      <c r="Z18" s="132"/>
      <c r="AA18" s="132"/>
    </row>
    <row r="19" spans="1:27" x14ac:dyDescent="0.25">
      <c r="A19" s="155"/>
      <c r="B19" s="171"/>
      <c r="C19" s="154"/>
      <c r="D19" s="154"/>
      <c r="E19" s="155"/>
      <c r="F19" s="155"/>
      <c r="G19" s="155"/>
      <c r="H19" s="155"/>
      <c r="I19" s="132"/>
      <c r="J19" s="132" t="s">
        <v>194</v>
      </c>
      <c r="K19" s="132" t="s">
        <v>195</v>
      </c>
      <c r="L19" s="132"/>
      <c r="M19" s="132"/>
      <c r="N19" s="132"/>
      <c r="O19" s="132"/>
      <c r="P19" s="132"/>
      <c r="Q19" s="132"/>
      <c r="R19" s="132"/>
      <c r="S19" s="132"/>
      <c r="T19" s="132"/>
      <c r="U19" s="132"/>
      <c r="V19" s="132"/>
      <c r="W19" s="132"/>
      <c r="X19" s="132"/>
      <c r="Y19" s="132"/>
      <c r="Z19" s="132"/>
      <c r="AA19" s="132"/>
    </row>
    <row r="20" spans="1:27" x14ac:dyDescent="0.25">
      <c r="A20" s="155"/>
      <c r="B20" s="171"/>
      <c r="C20" s="154"/>
      <c r="D20" s="154"/>
      <c r="E20" s="155"/>
      <c r="F20" s="155"/>
      <c r="G20" s="155"/>
      <c r="H20" s="155"/>
      <c r="I20" s="132"/>
      <c r="J20" s="132" t="s">
        <v>202</v>
      </c>
      <c r="K20" s="132" t="s">
        <v>196</v>
      </c>
      <c r="L20" s="132"/>
      <c r="M20" s="132"/>
      <c r="N20" s="132"/>
      <c r="O20" s="132"/>
      <c r="P20" s="132"/>
      <c r="Q20" s="132"/>
      <c r="R20" s="132"/>
      <c r="S20" s="132"/>
      <c r="T20" s="132"/>
      <c r="U20" s="132"/>
      <c r="V20" s="132"/>
      <c r="W20" s="132"/>
      <c r="X20" s="132"/>
      <c r="Y20" s="132"/>
      <c r="Z20" s="132"/>
      <c r="AA20" s="132"/>
    </row>
    <row r="21" spans="1:27" x14ac:dyDescent="0.25">
      <c r="A21" s="155"/>
      <c r="B21" s="171"/>
      <c r="C21" s="154"/>
      <c r="D21" s="154"/>
      <c r="E21" s="155"/>
      <c r="F21" s="155"/>
      <c r="G21" s="155"/>
      <c r="H21" s="155"/>
      <c r="I21" s="132"/>
      <c r="J21" s="132" t="s">
        <v>197</v>
      </c>
      <c r="K21" s="132" t="s">
        <v>198</v>
      </c>
      <c r="L21" s="132"/>
      <c r="M21" s="132"/>
      <c r="N21" s="132"/>
      <c r="O21" s="132"/>
      <c r="P21" s="132"/>
      <c r="Q21" s="132"/>
      <c r="R21" s="132"/>
      <c r="S21" s="132"/>
      <c r="T21" s="132"/>
      <c r="U21" s="132"/>
      <c r="V21" s="132"/>
      <c r="W21" s="132"/>
      <c r="X21" s="132"/>
      <c r="Y21" s="132"/>
      <c r="Z21" s="132"/>
      <c r="AA21" s="132"/>
    </row>
    <row r="22" spans="1:27" x14ac:dyDescent="0.25">
      <c r="A22" s="155"/>
      <c r="B22" s="171"/>
      <c r="C22" s="154"/>
      <c r="D22" s="154"/>
      <c r="E22" s="155"/>
      <c r="F22" s="155"/>
      <c r="G22" s="155"/>
      <c r="H22" s="155"/>
      <c r="I22" s="132"/>
      <c r="J22" s="132"/>
      <c r="K22" s="132"/>
      <c r="L22" s="132"/>
      <c r="M22" s="132"/>
      <c r="N22" s="132"/>
      <c r="O22" s="132"/>
      <c r="P22" s="132"/>
      <c r="Q22" s="132"/>
      <c r="R22" s="132"/>
      <c r="S22" s="132"/>
      <c r="T22" s="132"/>
      <c r="U22" s="132"/>
      <c r="V22" s="132"/>
      <c r="W22" s="132"/>
      <c r="X22" s="132"/>
      <c r="Y22" s="132"/>
      <c r="Z22" s="132"/>
      <c r="AA22" s="132"/>
    </row>
    <row r="23" spans="1:27" x14ac:dyDescent="0.25">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row>
    <row r="24" spans="1:27" ht="15.75" thickBot="1" x14ac:dyDescent="0.3">
      <c r="A24" s="172" t="s">
        <v>112</v>
      </c>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row>
    <row r="25" spans="1:27" x14ac:dyDescent="0.25">
      <c r="A25" s="176" t="s">
        <v>84</v>
      </c>
      <c r="B25" s="177" t="s">
        <v>295</v>
      </c>
      <c r="C25" s="177" t="s">
        <v>296</v>
      </c>
      <c r="D25" s="177" t="s">
        <v>297</v>
      </c>
      <c r="E25" s="177" t="s">
        <v>298</v>
      </c>
      <c r="F25" s="177" t="s">
        <v>299</v>
      </c>
      <c r="G25" s="177" t="s">
        <v>300</v>
      </c>
      <c r="H25" s="177" t="s">
        <v>301</v>
      </c>
      <c r="I25" s="177" t="s">
        <v>302</v>
      </c>
      <c r="J25" s="177" t="s">
        <v>303</v>
      </c>
      <c r="K25" s="177" t="s">
        <v>304</v>
      </c>
      <c r="L25" s="177" t="s">
        <v>305</v>
      </c>
      <c r="M25" s="313" t="s">
        <v>306</v>
      </c>
      <c r="N25" s="132"/>
      <c r="O25" s="132"/>
      <c r="P25" s="132"/>
      <c r="Q25" s="132"/>
      <c r="R25" s="132"/>
      <c r="S25" s="132"/>
      <c r="T25" s="132"/>
      <c r="U25" s="132"/>
      <c r="V25" s="132"/>
      <c r="W25" s="132"/>
      <c r="X25" s="132"/>
      <c r="Y25" s="132"/>
      <c r="Z25" s="132"/>
      <c r="AA25" s="132"/>
    </row>
    <row r="26" spans="1:27" x14ac:dyDescent="0.25">
      <c r="A26" s="178" t="s">
        <v>113</v>
      </c>
      <c r="B26" s="179"/>
      <c r="C26" s="179"/>
      <c r="D26" s="179"/>
      <c r="E26" s="179"/>
      <c r="F26" s="179"/>
      <c r="G26" s="179"/>
      <c r="H26" s="179"/>
      <c r="I26" s="179"/>
      <c r="J26" s="179"/>
      <c r="K26" s="179"/>
      <c r="L26" s="179"/>
      <c r="M26" s="308"/>
      <c r="N26" s="132"/>
      <c r="O26" s="132"/>
      <c r="P26" s="132"/>
      <c r="Q26" s="132"/>
      <c r="R26" s="132"/>
      <c r="S26" s="132"/>
      <c r="T26" s="132"/>
      <c r="U26" s="132"/>
      <c r="V26" s="132"/>
      <c r="W26" s="132"/>
      <c r="X26" s="132"/>
      <c r="Y26" s="132"/>
      <c r="Z26" s="132"/>
      <c r="AA26" s="132"/>
    </row>
    <row r="27" spans="1:27" x14ac:dyDescent="0.25">
      <c r="A27" s="294" t="s">
        <v>51</v>
      </c>
      <c r="B27" s="78"/>
      <c r="C27" s="78"/>
      <c r="D27" s="78"/>
      <c r="E27" s="78"/>
      <c r="F27" s="78"/>
      <c r="G27" s="78"/>
      <c r="H27" s="78"/>
      <c r="I27" s="78"/>
      <c r="J27" s="78"/>
      <c r="K27" s="78"/>
      <c r="L27" s="78"/>
      <c r="M27" s="309"/>
      <c r="N27" s="286"/>
      <c r="O27" s="286"/>
      <c r="P27" s="286"/>
      <c r="Q27" s="286"/>
      <c r="R27" s="286"/>
      <c r="S27" s="286"/>
      <c r="T27" s="286"/>
      <c r="U27" s="286"/>
      <c r="V27" s="286"/>
      <c r="W27" s="286"/>
      <c r="X27" s="286"/>
      <c r="Y27" s="286"/>
      <c r="Z27" s="286"/>
      <c r="AA27" s="286"/>
    </row>
    <row r="28" spans="1:27" x14ac:dyDescent="0.25">
      <c r="A28" s="290" t="s">
        <v>161</v>
      </c>
      <c r="B28" s="78"/>
      <c r="C28" s="78"/>
      <c r="D28" s="78"/>
      <c r="E28" s="78"/>
      <c r="F28" s="78"/>
      <c r="G28" s="78"/>
      <c r="H28" s="78"/>
      <c r="I28" s="78"/>
      <c r="J28" s="78"/>
      <c r="K28" s="78"/>
      <c r="L28" s="78"/>
      <c r="M28" s="309"/>
      <c r="N28" s="132"/>
      <c r="O28" s="132"/>
      <c r="P28" s="132"/>
      <c r="Q28" s="132"/>
      <c r="R28" s="132"/>
      <c r="S28" s="132"/>
      <c r="T28" s="132"/>
      <c r="U28" s="132"/>
      <c r="V28" s="132"/>
      <c r="W28" s="132"/>
      <c r="X28" s="132"/>
      <c r="Y28" s="132"/>
      <c r="Z28" s="132"/>
      <c r="AA28" s="132"/>
    </row>
    <row r="29" spans="1:27" x14ac:dyDescent="0.25">
      <c r="A29" s="180" t="s">
        <v>162</v>
      </c>
      <c r="B29" s="78"/>
      <c r="C29" s="78"/>
      <c r="D29" s="78"/>
      <c r="E29" s="78"/>
      <c r="F29" s="78"/>
      <c r="G29" s="78"/>
      <c r="H29" s="78"/>
      <c r="I29" s="78"/>
      <c r="J29" s="78"/>
      <c r="K29" s="78"/>
      <c r="L29" s="78"/>
      <c r="M29" s="309"/>
      <c r="N29" s="132"/>
      <c r="O29" s="132"/>
      <c r="P29" s="132"/>
      <c r="Q29" s="132"/>
      <c r="R29" s="132"/>
      <c r="S29" s="132"/>
      <c r="T29" s="132"/>
      <c r="U29" s="132"/>
      <c r="V29" s="132"/>
      <c r="W29" s="132"/>
      <c r="X29" s="132"/>
      <c r="Y29" s="132"/>
      <c r="Z29" s="132"/>
      <c r="AA29" s="132"/>
    </row>
    <row r="30" spans="1:27" x14ac:dyDescent="0.25">
      <c r="A30" s="180" t="s">
        <v>163</v>
      </c>
      <c r="B30" s="78"/>
      <c r="C30" s="78"/>
      <c r="D30" s="78"/>
      <c r="E30" s="78"/>
      <c r="F30" s="78"/>
      <c r="G30" s="78"/>
      <c r="H30" s="78"/>
      <c r="I30" s="78"/>
      <c r="J30" s="78"/>
      <c r="K30" s="78"/>
      <c r="L30" s="78"/>
      <c r="M30" s="309"/>
      <c r="N30" s="132"/>
      <c r="O30" s="132"/>
      <c r="P30" s="132"/>
      <c r="Q30" s="132"/>
      <c r="R30" s="132"/>
      <c r="S30" s="132"/>
      <c r="T30" s="132"/>
      <c r="U30" s="132"/>
      <c r="V30" s="132"/>
      <c r="W30" s="132"/>
      <c r="X30" s="132"/>
      <c r="Y30" s="132"/>
      <c r="Z30" s="132"/>
      <c r="AA30" s="132"/>
    </row>
    <row r="31" spans="1:27" x14ac:dyDescent="0.25">
      <c r="A31" s="180" t="s">
        <v>165</v>
      </c>
      <c r="B31" s="78"/>
      <c r="C31" s="78"/>
      <c r="D31" s="78"/>
      <c r="E31" s="78"/>
      <c r="F31" s="78"/>
      <c r="G31" s="78"/>
      <c r="H31" s="78"/>
      <c r="I31" s="78"/>
      <c r="J31" s="78"/>
      <c r="K31" s="78"/>
      <c r="L31" s="78"/>
      <c r="M31" s="309"/>
      <c r="N31" s="132"/>
      <c r="O31" s="132"/>
      <c r="P31" s="132"/>
      <c r="Q31" s="132"/>
      <c r="R31" s="132"/>
      <c r="S31" s="132"/>
      <c r="T31" s="132"/>
      <c r="U31" s="132"/>
      <c r="V31" s="132"/>
      <c r="W31" s="132"/>
      <c r="X31" s="132"/>
      <c r="Y31" s="132"/>
      <c r="Z31" s="132"/>
      <c r="AA31" s="132"/>
    </row>
    <row r="32" spans="1:27" x14ac:dyDescent="0.25">
      <c r="A32" s="180" t="s">
        <v>164</v>
      </c>
      <c r="B32" s="78"/>
      <c r="C32" s="78"/>
      <c r="D32" s="78"/>
      <c r="E32" s="78"/>
      <c r="F32" s="78"/>
      <c r="G32" s="78"/>
      <c r="H32" s="78"/>
      <c r="I32" s="78"/>
      <c r="J32" s="78"/>
      <c r="K32" s="78"/>
      <c r="L32" s="78"/>
      <c r="M32" s="309"/>
      <c r="N32" s="132"/>
      <c r="O32" s="132"/>
      <c r="P32" s="132"/>
      <c r="Q32" s="132"/>
      <c r="R32" s="132"/>
      <c r="S32" s="132"/>
      <c r="T32" s="132"/>
      <c r="U32" s="132"/>
      <c r="V32" s="132"/>
      <c r="W32" s="132"/>
      <c r="X32" s="132"/>
      <c r="Y32" s="132"/>
      <c r="Z32" s="132"/>
      <c r="AA32" s="132"/>
    </row>
    <row r="33" spans="1:27" ht="15.75" thickBot="1" x14ac:dyDescent="0.3">
      <c r="A33" s="295" t="s">
        <v>114</v>
      </c>
      <c r="B33" s="186"/>
      <c r="C33" s="186"/>
      <c r="D33" s="186"/>
      <c r="E33" s="186"/>
      <c r="F33" s="186"/>
      <c r="G33" s="186"/>
      <c r="H33" s="186"/>
      <c r="I33" s="186"/>
      <c r="J33" s="186"/>
      <c r="K33" s="186"/>
      <c r="L33" s="186"/>
      <c r="M33" s="310"/>
      <c r="N33" s="132"/>
      <c r="O33" s="132"/>
      <c r="P33" s="132"/>
      <c r="Q33" s="132"/>
      <c r="R33" s="132"/>
      <c r="S33" s="132"/>
      <c r="T33" s="132"/>
      <c r="U33" s="132"/>
      <c r="V33" s="132"/>
      <c r="W33" s="132"/>
      <c r="X33" s="132"/>
      <c r="Y33" s="132"/>
      <c r="Z33" s="132"/>
      <c r="AA33" s="132"/>
    </row>
    <row r="34" spans="1:27" s="47" customFormat="1" x14ac:dyDescent="0.25">
      <c r="A34" s="292"/>
      <c r="B34" s="293"/>
      <c r="C34" s="293"/>
      <c r="D34" s="293"/>
      <c r="E34" s="293"/>
      <c r="F34" s="293"/>
      <c r="G34" s="293"/>
      <c r="H34" s="293"/>
      <c r="I34" s="293"/>
      <c r="J34" s="293"/>
      <c r="K34" s="293"/>
      <c r="L34" s="293"/>
      <c r="M34" s="293"/>
      <c r="N34" s="162"/>
      <c r="O34" s="162"/>
      <c r="P34" s="162"/>
      <c r="Q34" s="162"/>
      <c r="R34" s="162"/>
      <c r="S34" s="162"/>
      <c r="T34" s="162"/>
      <c r="U34" s="162"/>
      <c r="V34" s="162"/>
      <c r="W34" s="162"/>
      <c r="X34" s="162"/>
      <c r="Y34" s="162"/>
      <c r="Z34" s="162"/>
      <c r="AA34" s="162"/>
    </row>
    <row r="35" spans="1:27" ht="15.75" thickBot="1" x14ac:dyDescent="0.3">
      <c r="A35" s="173" t="s">
        <v>118</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row>
    <row r="36" spans="1:27" ht="15.75" thickBot="1" x14ac:dyDescent="0.3">
      <c r="A36" s="181" t="s">
        <v>84</v>
      </c>
      <c r="B36" s="182" t="s">
        <v>295</v>
      </c>
      <c r="C36" s="182" t="s">
        <v>296</v>
      </c>
      <c r="D36" s="182" t="s">
        <v>297</v>
      </c>
      <c r="E36" s="182" t="s">
        <v>298</v>
      </c>
      <c r="F36" s="182" t="s">
        <v>299</v>
      </c>
      <c r="G36" s="182" t="s">
        <v>300</v>
      </c>
      <c r="H36" s="182" t="s">
        <v>301</v>
      </c>
      <c r="I36" s="182" t="s">
        <v>302</v>
      </c>
      <c r="J36" s="182" t="s">
        <v>303</v>
      </c>
      <c r="K36" s="182" t="s">
        <v>304</v>
      </c>
      <c r="L36" s="182" t="s">
        <v>305</v>
      </c>
      <c r="M36" s="312" t="s">
        <v>306</v>
      </c>
      <c r="N36" s="132"/>
      <c r="O36" s="132"/>
      <c r="P36" s="132"/>
      <c r="Q36" s="132"/>
      <c r="R36" s="132"/>
      <c r="S36" s="132"/>
      <c r="T36" s="132"/>
      <c r="U36" s="132"/>
      <c r="V36" s="132"/>
      <c r="W36" s="132"/>
      <c r="X36" s="132"/>
      <c r="Y36" s="132"/>
      <c r="Z36" s="132"/>
      <c r="AA36" s="132"/>
    </row>
    <row r="37" spans="1:27" ht="15.75" thickTop="1" x14ac:dyDescent="0.25">
      <c r="A37" s="183" t="s">
        <v>148</v>
      </c>
      <c r="B37" s="179"/>
      <c r="C37" s="179"/>
      <c r="D37" s="179"/>
      <c r="E37" s="179"/>
      <c r="F37" s="179"/>
      <c r="G37" s="179"/>
      <c r="H37" s="179"/>
      <c r="I37" s="179"/>
      <c r="J37" s="179"/>
      <c r="K37" s="179"/>
      <c r="L37" s="179"/>
      <c r="M37" s="308"/>
      <c r="N37" s="132"/>
      <c r="O37" s="132"/>
      <c r="P37" s="132"/>
      <c r="Q37" s="132"/>
      <c r="R37" s="132"/>
      <c r="S37" s="132"/>
      <c r="T37" s="132"/>
      <c r="U37" s="132"/>
      <c r="V37" s="132"/>
      <c r="W37" s="132"/>
      <c r="X37" s="132"/>
      <c r="Y37" s="132"/>
      <c r="Z37" s="132"/>
      <c r="AA37" s="132"/>
    </row>
    <row r="38" spans="1:27" x14ac:dyDescent="0.25">
      <c r="A38" s="184" t="s">
        <v>149</v>
      </c>
      <c r="B38" s="78"/>
      <c r="C38" s="78"/>
      <c r="D38" s="78"/>
      <c r="E38" s="78"/>
      <c r="F38" s="78"/>
      <c r="G38" s="78"/>
      <c r="H38" s="78"/>
      <c r="I38" s="78"/>
      <c r="J38" s="78"/>
      <c r="K38" s="78"/>
      <c r="L38" s="78"/>
      <c r="M38" s="309"/>
      <c r="N38" s="132"/>
      <c r="O38" s="132"/>
      <c r="P38" s="132"/>
      <c r="Q38" s="132"/>
      <c r="R38" s="132"/>
      <c r="S38" s="132"/>
      <c r="T38" s="132"/>
      <c r="U38" s="132"/>
      <c r="V38" s="132"/>
      <c r="W38" s="132"/>
      <c r="X38" s="132"/>
      <c r="Y38" s="132"/>
      <c r="Z38" s="132"/>
      <c r="AA38" s="132"/>
    </row>
    <row r="39" spans="1:27" x14ac:dyDescent="0.25">
      <c r="A39" s="184" t="s">
        <v>150</v>
      </c>
      <c r="B39" s="78"/>
      <c r="C39" s="78"/>
      <c r="D39" s="78"/>
      <c r="E39" s="78"/>
      <c r="F39" s="78"/>
      <c r="G39" s="78"/>
      <c r="H39" s="78"/>
      <c r="I39" s="78"/>
      <c r="J39" s="78"/>
      <c r="K39" s="78"/>
      <c r="L39" s="78"/>
      <c r="M39" s="309"/>
      <c r="N39" s="132"/>
      <c r="O39" s="132"/>
      <c r="P39" s="132"/>
      <c r="Q39" s="132"/>
      <c r="R39" s="132"/>
      <c r="S39" s="132"/>
      <c r="T39" s="132"/>
      <c r="U39" s="132"/>
      <c r="V39" s="132"/>
      <c r="W39" s="132"/>
      <c r="X39" s="132"/>
      <c r="Y39" s="132"/>
      <c r="Z39" s="132"/>
      <c r="AA39" s="132"/>
    </row>
    <row r="40" spans="1:27" x14ac:dyDescent="0.25">
      <c r="A40" s="184" t="s">
        <v>151</v>
      </c>
      <c r="B40" s="78"/>
      <c r="C40" s="78"/>
      <c r="D40" s="78"/>
      <c r="E40" s="78"/>
      <c r="F40" s="78"/>
      <c r="G40" s="78"/>
      <c r="H40" s="78"/>
      <c r="I40" s="78"/>
      <c r="J40" s="78"/>
      <c r="K40" s="78"/>
      <c r="L40" s="78"/>
      <c r="M40" s="309"/>
      <c r="N40" s="132"/>
      <c r="O40" s="132"/>
      <c r="P40" s="132"/>
      <c r="Q40" s="132"/>
      <c r="R40" s="132"/>
      <c r="S40" s="132"/>
      <c r="T40" s="132"/>
      <c r="U40" s="132"/>
      <c r="V40" s="132"/>
      <c r="W40" s="132"/>
      <c r="X40" s="132"/>
      <c r="Y40" s="132"/>
      <c r="Z40" s="132"/>
      <c r="AA40" s="132"/>
    </row>
    <row r="41" spans="1:27" ht="15.75" thickBot="1" x14ac:dyDescent="0.3">
      <c r="A41" s="185" t="s">
        <v>152</v>
      </c>
      <c r="B41" s="186"/>
      <c r="C41" s="186"/>
      <c r="D41" s="186"/>
      <c r="E41" s="186"/>
      <c r="F41" s="186"/>
      <c r="G41" s="186"/>
      <c r="H41" s="186"/>
      <c r="I41" s="186"/>
      <c r="J41" s="186"/>
      <c r="K41" s="186"/>
      <c r="L41" s="186"/>
      <c r="M41" s="310"/>
      <c r="N41" s="132"/>
      <c r="O41" s="132"/>
      <c r="P41" s="132"/>
      <c r="Q41" s="132"/>
      <c r="R41" s="132"/>
      <c r="S41" s="132"/>
      <c r="T41" s="132"/>
      <c r="U41" s="132"/>
      <c r="V41" s="132"/>
      <c r="W41" s="132"/>
      <c r="X41" s="132"/>
      <c r="Y41" s="132"/>
      <c r="Z41" s="132"/>
      <c r="AA41" s="132"/>
    </row>
    <row r="42" spans="1:27" x14ac:dyDescent="0.25">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row>
    <row r="43" spans="1:27" x14ac:dyDescent="0.25">
      <c r="A43" s="174" t="s">
        <v>124</v>
      </c>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row>
    <row r="44" spans="1:27" x14ac:dyDescent="0.25">
      <c r="A44" s="187" t="s">
        <v>84</v>
      </c>
      <c r="B44" s="188" t="s">
        <v>295</v>
      </c>
      <c r="C44" s="188" t="s">
        <v>296</v>
      </c>
      <c r="D44" s="188" t="s">
        <v>297</v>
      </c>
      <c r="E44" s="188" t="s">
        <v>298</v>
      </c>
      <c r="F44" s="188" t="s">
        <v>299</v>
      </c>
      <c r="G44" s="188" t="s">
        <v>300</v>
      </c>
      <c r="H44" s="188" t="s">
        <v>301</v>
      </c>
      <c r="I44" s="188" t="s">
        <v>302</v>
      </c>
      <c r="J44" s="188" t="s">
        <v>303</v>
      </c>
      <c r="K44" s="188" t="s">
        <v>304</v>
      </c>
      <c r="L44" s="188" t="s">
        <v>305</v>
      </c>
      <c r="M44" s="311" t="s">
        <v>306</v>
      </c>
      <c r="N44" s="132"/>
      <c r="O44" s="132"/>
      <c r="P44" s="132"/>
      <c r="Q44" s="132"/>
      <c r="R44" s="132"/>
      <c r="S44" s="132"/>
      <c r="T44" s="132"/>
      <c r="U44" s="132"/>
      <c r="V44" s="132"/>
      <c r="W44" s="132"/>
      <c r="X44" s="132"/>
      <c r="Y44" s="132"/>
      <c r="Z44" s="132"/>
      <c r="AA44" s="132"/>
    </row>
    <row r="45" spans="1:27" x14ac:dyDescent="0.25">
      <c r="A45" s="189" t="s">
        <v>153</v>
      </c>
      <c r="B45" s="78"/>
      <c r="C45" s="78"/>
      <c r="D45" s="78"/>
      <c r="E45" s="78"/>
      <c r="F45" s="78"/>
      <c r="G45" s="78"/>
      <c r="H45" s="78"/>
      <c r="I45" s="78"/>
      <c r="J45" s="78"/>
      <c r="K45" s="78"/>
      <c r="L45" s="78"/>
      <c r="M45" s="309"/>
      <c r="N45" s="132"/>
      <c r="O45" s="132"/>
      <c r="P45" s="132"/>
      <c r="Q45" s="132"/>
      <c r="R45" s="132"/>
      <c r="S45" s="132"/>
      <c r="T45" s="132"/>
      <c r="U45" s="132"/>
      <c r="V45" s="132"/>
      <c r="W45" s="132"/>
      <c r="X45" s="132"/>
      <c r="Y45" s="132"/>
      <c r="Z45" s="132"/>
      <c r="AA45" s="132"/>
    </row>
    <row r="46" spans="1:27" x14ac:dyDescent="0.25">
      <c r="A46" s="189" t="s">
        <v>154</v>
      </c>
      <c r="B46" s="78"/>
      <c r="C46" s="78"/>
      <c r="D46" s="78"/>
      <c r="E46" s="78"/>
      <c r="F46" s="78"/>
      <c r="G46" s="78"/>
      <c r="H46" s="78"/>
      <c r="I46" s="78"/>
      <c r="J46" s="78"/>
      <c r="K46" s="78"/>
      <c r="L46" s="78"/>
      <c r="M46" s="309"/>
      <c r="N46" s="132"/>
      <c r="O46" s="132"/>
      <c r="P46" s="132"/>
      <c r="Q46" s="132"/>
      <c r="R46" s="132"/>
      <c r="S46" s="132"/>
      <c r="T46" s="132"/>
      <c r="U46" s="132"/>
      <c r="V46" s="132"/>
      <c r="W46" s="132"/>
      <c r="X46" s="132"/>
      <c r="Y46" s="132"/>
      <c r="Z46" s="132"/>
      <c r="AA46" s="132"/>
    </row>
    <row r="47" spans="1:27" x14ac:dyDescent="0.25">
      <c r="A47" s="189" t="s">
        <v>155</v>
      </c>
      <c r="B47" s="78"/>
      <c r="C47" s="78"/>
      <c r="D47" s="78"/>
      <c r="E47" s="78"/>
      <c r="F47" s="78"/>
      <c r="G47" s="78"/>
      <c r="H47" s="78"/>
      <c r="I47" s="78"/>
      <c r="J47" s="78"/>
      <c r="K47" s="78"/>
      <c r="L47" s="78"/>
      <c r="M47" s="309"/>
      <c r="N47" s="132"/>
      <c r="O47" s="132"/>
      <c r="P47" s="132"/>
      <c r="Q47" s="132"/>
      <c r="R47" s="132"/>
      <c r="S47" s="132"/>
      <c r="T47" s="132"/>
      <c r="U47" s="132"/>
      <c r="V47" s="132"/>
      <c r="W47" s="132"/>
      <c r="X47" s="132"/>
      <c r="Y47" s="132"/>
      <c r="Z47" s="132"/>
      <c r="AA47" s="132"/>
    </row>
    <row r="48" spans="1:27" x14ac:dyDescent="0.25">
      <c r="A48" s="189" t="s">
        <v>156</v>
      </c>
      <c r="B48" s="78"/>
      <c r="C48" s="78"/>
      <c r="D48" s="78"/>
      <c r="E48" s="78"/>
      <c r="F48" s="78"/>
      <c r="G48" s="78"/>
      <c r="H48" s="78"/>
      <c r="I48" s="78"/>
      <c r="J48" s="78"/>
      <c r="K48" s="78"/>
      <c r="L48" s="78"/>
      <c r="M48" s="309"/>
      <c r="N48" s="132"/>
      <c r="O48" s="132"/>
      <c r="P48" s="132"/>
      <c r="Q48" s="132"/>
      <c r="R48" s="132"/>
      <c r="S48" s="132"/>
      <c r="T48" s="132"/>
      <c r="U48" s="132"/>
      <c r="V48" s="132"/>
      <c r="W48" s="132"/>
      <c r="X48" s="132"/>
      <c r="Y48" s="132"/>
      <c r="Z48" s="132"/>
      <c r="AA48" s="132"/>
    </row>
    <row r="49" spans="1:27" ht="15.75" thickBot="1" x14ac:dyDescent="0.3">
      <c r="A49" s="191" t="s">
        <v>159</v>
      </c>
      <c r="B49" s="186"/>
      <c r="C49" s="186"/>
      <c r="D49" s="186"/>
      <c r="E49" s="186"/>
      <c r="F49" s="186"/>
      <c r="G49" s="186"/>
      <c r="H49" s="186"/>
      <c r="I49" s="186"/>
      <c r="J49" s="186"/>
      <c r="K49" s="186"/>
      <c r="L49" s="186"/>
      <c r="M49" s="310"/>
      <c r="N49" s="132"/>
      <c r="O49" s="132"/>
      <c r="P49" s="132"/>
      <c r="Q49" s="132"/>
      <c r="R49" s="132"/>
      <c r="S49" s="132"/>
      <c r="T49" s="132"/>
      <c r="U49" s="132"/>
      <c r="V49" s="132"/>
      <c r="W49" s="132"/>
      <c r="X49" s="132"/>
      <c r="Y49" s="132"/>
      <c r="Z49" s="132"/>
      <c r="AA49" s="132"/>
    </row>
    <row r="50" spans="1:27" x14ac:dyDescent="0.25">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row>
    <row r="51" spans="1:27" ht="19.5" thickBot="1" x14ac:dyDescent="0.35">
      <c r="A51" s="175" t="s">
        <v>282</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row>
    <row r="52" spans="1:27" ht="19.5" thickBot="1" x14ac:dyDescent="0.35">
      <c r="A52" s="192" t="s">
        <v>117</v>
      </c>
      <c r="B52" s="193" t="s">
        <v>295</v>
      </c>
      <c r="C52" s="193" t="s">
        <v>296</v>
      </c>
      <c r="D52" s="193" t="s">
        <v>297</v>
      </c>
      <c r="E52" s="193" t="s">
        <v>298</v>
      </c>
      <c r="F52" s="193" t="s">
        <v>299</v>
      </c>
      <c r="G52" s="193" t="s">
        <v>300</v>
      </c>
      <c r="H52" s="193" t="s">
        <v>301</v>
      </c>
      <c r="I52" s="193" t="s">
        <v>302</v>
      </c>
      <c r="J52" s="193" t="s">
        <v>303</v>
      </c>
      <c r="K52" s="193" t="s">
        <v>304</v>
      </c>
      <c r="L52" s="193" t="s">
        <v>305</v>
      </c>
      <c r="M52" s="193" t="s">
        <v>306</v>
      </c>
      <c r="N52" s="194" t="s">
        <v>116</v>
      </c>
      <c r="O52" s="132"/>
      <c r="P52" s="132"/>
      <c r="Q52" s="132"/>
      <c r="R52" s="132"/>
      <c r="S52" s="132"/>
      <c r="T52" s="132"/>
      <c r="U52" s="132"/>
      <c r="V52" s="132"/>
      <c r="W52" s="132"/>
      <c r="X52" s="132"/>
      <c r="Y52" s="132"/>
      <c r="Z52" s="132"/>
      <c r="AA52" s="132"/>
    </row>
    <row r="53" spans="1:27" ht="15.75" x14ac:dyDescent="0.25">
      <c r="A53" s="195" t="s">
        <v>46</v>
      </c>
      <c r="B53" s="235">
        <f>SUM('Calculation Sheet 1:Calculation Sheet 5'!B41)</f>
        <v>0</v>
      </c>
      <c r="C53" s="235">
        <f t="array" ref="C53">SUM('Calculation Sheet 1:Calculation Sheet 5'!C41)</f>
        <v>0</v>
      </c>
      <c r="D53" s="235">
        <f t="array" ref="D53">SUM('Calculation Sheet 1:Calculation Sheet 5'!D41)</f>
        <v>0</v>
      </c>
      <c r="E53" s="235">
        <f t="array" ref="E53">SUM('Calculation Sheet 1:Calculation Sheet 5'!E41)</f>
        <v>0</v>
      </c>
      <c r="F53" s="235">
        <f t="array" ref="F53">SUM('Calculation Sheet 1:Calculation Sheet 5'!F41)</f>
        <v>0</v>
      </c>
      <c r="G53" s="235">
        <f>SUM('Calculation Sheet 1:Calculation Sheet 5'!G41)</f>
        <v>0</v>
      </c>
      <c r="H53" s="235">
        <f t="array" ref="H53">SUM('Calculation Sheet 1:Calculation Sheet 5'!H41)</f>
        <v>0</v>
      </c>
      <c r="I53" s="235">
        <f t="array" ref="I53">SUM('Calculation Sheet 1:Calculation Sheet 5'!I41)</f>
        <v>0</v>
      </c>
      <c r="J53" s="235">
        <f t="array" ref="J53">SUM('Calculation Sheet 1:Calculation Sheet 5'!J41)</f>
        <v>0</v>
      </c>
      <c r="K53" s="235">
        <f t="array" ref="K53">SUM('Calculation Sheet 1:Calculation Sheet 5'!K41)</f>
        <v>0</v>
      </c>
      <c r="L53" s="235">
        <f t="array" ref="L53">SUM('Calculation Sheet 1:Calculation Sheet 5'!L41)</f>
        <v>0</v>
      </c>
      <c r="M53" s="235">
        <f t="array" ref="M53">SUM('Calculation Sheet 1:Calculation Sheet 5'!M41)</f>
        <v>0</v>
      </c>
      <c r="N53" s="284">
        <f>SUM('Entry Sheet'!$B53:$M53)</f>
        <v>0</v>
      </c>
      <c r="O53" s="132"/>
      <c r="P53" s="132"/>
      <c r="Q53" s="132"/>
      <c r="R53" s="132"/>
      <c r="S53" s="132"/>
      <c r="T53" s="132"/>
      <c r="U53" s="132"/>
      <c r="V53" s="132"/>
      <c r="W53" s="132"/>
      <c r="X53" s="132"/>
      <c r="Y53" s="132"/>
      <c r="Z53" s="132"/>
      <c r="AA53" s="132"/>
    </row>
    <row r="54" spans="1:27" ht="16.5" thickBot="1" x14ac:dyDescent="0.3">
      <c r="A54" s="196" t="s">
        <v>0</v>
      </c>
      <c r="B54" s="236">
        <f>B$53*Conversions!$B$4</f>
        <v>0</v>
      </c>
      <c r="C54" s="236">
        <f>C$53*Conversions!$B$4</f>
        <v>0</v>
      </c>
      <c r="D54" s="236">
        <f>D$53*Conversions!$B$4</f>
        <v>0</v>
      </c>
      <c r="E54" s="236">
        <f>E$53*Conversions!$B$4</f>
        <v>0</v>
      </c>
      <c r="F54" s="236">
        <f>F$53*Conversions!$B$4</f>
        <v>0</v>
      </c>
      <c r="G54" s="236">
        <f>G$53*Conversions!$B$4</f>
        <v>0</v>
      </c>
      <c r="H54" s="236">
        <f>H$53*Conversions!$B$4</f>
        <v>0</v>
      </c>
      <c r="I54" s="236">
        <f>I$53*Conversions!$B$4</f>
        <v>0</v>
      </c>
      <c r="J54" s="236">
        <f>J$53*Conversions!$B$4</f>
        <v>0</v>
      </c>
      <c r="K54" s="236">
        <f>K$53*Conversions!$B$4</f>
        <v>0</v>
      </c>
      <c r="L54" s="236">
        <f>L$53*Conversions!$B$4</f>
        <v>0</v>
      </c>
      <c r="M54" s="236">
        <f>M$53*Conversions!$B$4</f>
        <v>0</v>
      </c>
      <c r="N54" s="285">
        <f>SUM('Entry Sheet'!$B54:$M54)</f>
        <v>0</v>
      </c>
      <c r="O54" s="132"/>
      <c r="P54" s="132"/>
      <c r="Q54" s="132"/>
      <c r="R54" s="132"/>
      <c r="S54" s="132"/>
      <c r="T54" s="132"/>
      <c r="U54" s="132"/>
      <c r="V54" s="132"/>
      <c r="W54" s="132"/>
      <c r="X54" s="132"/>
      <c r="Y54" s="132"/>
      <c r="Z54" s="132"/>
      <c r="AA54" s="132"/>
    </row>
    <row r="55" spans="1:27" x14ac:dyDescent="0.25">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row>
  </sheetData>
  <sheetProtection formatColumns="0" formatRows="0" insertColumns="0" insertRows="0" insertHyperlinks="0" deleteColumns="0" deleteRows="0" sort="0" autoFilter="0" pivotTables="0"/>
  <customSheetViews>
    <customSheetView guid="{A3E8C8DD-8C60-4C83-AE95-312CF58B6ABA}">
      <selection activeCell="C38" sqref="C38"/>
      <pageMargins left="0.7" right="0.7" top="0.75" bottom="0.75" header="0.3" footer="0.3"/>
      <pageSetup orientation="portrait" r:id="rId1"/>
    </customSheetView>
  </customSheetViews>
  <mergeCells count="15">
    <mergeCell ref="K10:U10"/>
    <mergeCell ref="K17:AA17"/>
    <mergeCell ref="K12:W12"/>
    <mergeCell ref="K13:V13"/>
    <mergeCell ref="K14:V14"/>
    <mergeCell ref="K15:V15"/>
    <mergeCell ref="K1:T1"/>
    <mergeCell ref="K4:T4"/>
    <mergeCell ref="K5:T5"/>
    <mergeCell ref="K6:T6"/>
    <mergeCell ref="K9:U9"/>
    <mergeCell ref="K7:T7"/>
    <mergeCell ref="K8:T8"/>
    <mergeCell ref="K3:T3"/>
    <mergeCell ref="K2:U2"/>
  </mergeCells>
  <dataValidations count="7">
    <dataValidation type="decimal" operator="greaterThanOrEqual" allowBlank="1" showInputMessage="1" showErrorMessage="1" error="Enter a number greater than or equal to zero. Enter digits, not text." sqref="E13 E11 E5 E7 E9 B15">
      <formula1>0</formula1>
    </dataValidation>
    <dataValidation type="whole" operator="greaterThanOrEqual" allowBlank="1" showInputMessage="1" showErrorMessage="1" error="Enter a whole number greater than or equal to zero. Enter digits, not text." sqref="H6 B37:M41 B26:M34 H4 H10 H12 H8 B44:M49">
      <formula1>0</formula1>
    </dataValidation>
    <dataValidation type="list" allowBlank="1" showInputMessage="1" showErrorMessage="1" sqref="H3 H5 H7 H9 H11">
      <formula1>StockType</formula1>
    </dataValidation>
    <dataValidation type="list" allowBlank="1" showInputMessage="1" showErrorMessage="1" sqref="E12 E6 E8 E10">
      <formula1>Irrigation_Crop</formula1>
    </dataValidation>
    <dataValidation type="list" allowBlank="1" showInputMessage="1" showErrorMessage="1" sqref="E3">
      <formula1>IrrigationCounty</formula1>
    </dataValidation>
    <dataValidation type="whole" allowBlank="1" showInputMessage="1" showErrorMessage="1" sqref="B6 B8 B10 B12">
      <formula1>0</formula1>
      <formula2>9999999999</formula2>
    </dataValidation>
    <dataValidation type="whole" operator="greaterThanOrEqual" allowBlank="1" showInputMessage="1" showErrorMessage="1" sqref="B14">
      <formula1>0</formula1>
    </dataValidation>
  </dataValidations>
  <pageMargins left="0.7" right="0.7" top="0.75" bottom="0.75" header="0.3" footer="0.3"/>
  <pageSetup orientation="portrait" r:id="rId2"/>
  <cellWatches>
    <cellWatch r="B53"/>
    <cellWatch r="C53"/>
    <cellWatch r="D53"/>
    <cellWatch r="E53"/>
    <cellWatch r="F53"/>
    <cellWatch r="G53"/>
    <cellWatch r="H53"/>
    <cellWatch r="I53"/>
    <cellWatch r="J53"/>
    <cellWatch r="K53"/>
    <cellWatch r="L53"/>
    <cellWatch r="M53"/>
  </cellWatches>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Assumptions!$A$82:$A$91</xm:f>
          </x14:formula1>
          <xm:sqref>B4</xm:sqref>
        </x14:dataValidation>
        <x14:dataValidation type="list" allowBlank="1" showInputMessage="1" showErrorMessage="1">
          <x14:formula1>
            <xm:f>Assumptions!$A$14:$A$18</xm:f>
          </x14:formula1>
          <xm:sqref>B5 B7 B9 B11 B13</xm:sqref>
        </x14:dataValidation>
        <x14:dataValidation type="list" allowBlank="1" showInputMessage="1" showErrorMessage="1">
          <x14:formula1>
            <xm:f>Assumptions!$A$35:$A$55</xm:f>
          </x14:formula1>
          <xm:sqref>E4</xm:sqref>
        </x14:dataValidation>
        <x14:dataValidation type="list" allowBlank="1" showInputMessage="1" showErrorMessage="1" error="Only select options in drop-down menu.">
          <x14:formula1>
            <xm:f>Assumptions!A3:A11</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W18" sqref="W18"/>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BG111"/>
  <sheetViews>
    <sheetView zoomScaleNormal="100" workbookViewId="0">
      <selection activeCell="S13" sqref="S13"/>
    </sheetView>
  </sheetViews>
  <sheetFormatPr defaultRowHeight="15" x14ac:dyDescent="0.25"/>
  <cols>
    <col min="1" max="1" width="31.5703125" customWidth="1"/>
    <col min="2" max="2" width="13" style="2" customWidth="1"/>
    <col min="3" max="3" width="13" customWidth="1"/>
    <col min="4" max="4" width="8.28515625" bestFit="1" customWidth="1"/>
    <col min="5" max="5" width="7.85546875" bestFit="1" customWidth="1"/>
    <col min="6" max="6" width="9.7109375" bestFit="1" customWidth="1"/>
    <col min="7" max="7" width="14" customWidth="1"/>
    <col min="8" max="8" width="7.5703125" bestFit="1" customWidth="1"/>
    <col min="9" max="9" width="9.85546875" bestFit="1" customWidth="1"/>
    <col min="10" max="10" width="9.7109375" bestFit="1" customWidth="1"/>
    <col min="11" max="12" width="7.85546875" bestFit="1" customWidth="1"/>
    <col min="13" max="13" width="10.140625" bestFit="1" customWidth="1"/>
    <col min="14" max="14" width="8.7109375" bestFit="1" customWidth="1"/>
    <col min="15" max="18" width="6.5703125" bestFit="1" customWidth="1"/>
    <col min="19" max="19" width="6.85546875" bestFit="1" customWidth="1"/>
    <col min="20" max="20" width="11.42578125" bestFit="1" customWidth="1"/>
    <col min="21" max="21" width="7.85546875" bestFit="1" customWidth="1"/>
    <col min="22" max="22" width="6.5703125" bestFit="1" customWidth="1"/>
    <col min="23" max="23" width="9.28515625" bestFit="1" customWidth="1"/>
    <col min="24" max="24" width="11.140625" bestFit="1" customWidth="1"/>
    <col min="25" max="25" width="7.85546875" bestFit="1" customWidth="1"/>
    <col min="26" max="26" width="7.140625" bestFit="1" customWidth="1"/>
    <col min="27" max="27" width="6.5703125" bestFit="1" customWidth="1"/>
    <col min="28" max="28" width="9.85546875" bestFit="1" customWidth="1"/>
    <col min="29" max="29" width="6.5703125" bestFit="1" customWidth="1"/>
    <col min="30" max="30" width="7.7109375" bestFit="1" customWidth="1"/>
    <col min="31" max="31" width="7.42578125" bestFit="1" customWidth="1"/>
    <col min="32" max="32" width="6.5703125" bestFit="1" customWidth="1"/>
    <col min="33" max="33" width="7.42578125" bestFit="1" customWidth="1"/>
    <col min="34" max="34" width="9.28515625" bestFit="1" customWidth="1"/>
    <col min="35" max="35" width="11.42578125" bestFit="1" customWidth="1"/>
    <col min="36" max="36" width="10.42578125" bestFit="1" customWidth="1"/>
    <col min="37" max="37" width="14.5703125" bestFit="1" customWidth="1"/>
    <col min="38" max="38" width="9.7109375" bestFit="1" customWidth="1"/>
    <col min="39" max="39" width="11.42578125" bestFit="1" customWidth="1"/>
    <col min="40" max="40" width="14.85546875" bestFit="1" customWidth="1"/>
    <col min="41" max="41" width="10.42578125" bestFit="1" customWidth="1"/>
    <col min="42" max="42" width="13.140625" bestFit="1" customWidth="1"/>
    <col min="43" max="43" width="10.7109375" bestFit="1" customWidth="1"/>
    <col min="44" max="44" width="10.140625" bestFit="1" customWidth="1"/>
    <col min="45" max="45" width="6.7109375" bestFit="1" customWidth="1"/>
    <col min="46" max="46" width="6.5703125" bestFit="1" customWidth="1"/>
    <col min="47" max="47" width="8.28515625" bestFit="1" customWidth="1"/>
    <col min="48" max="48" width="7" bestFit="1" customWidth="1"/>
    <col min="49" max="49" width="8.140625" bestFit="1" customWidth="1"/>
    <col min="50" max="50" width="9.85546875" bestFit="1" customWidth="1"/>
    <col min="51" max="51" width="6.5703125" bestFit="1" customWidth="1"/>
    <col min="52" max="52" width="8" bestFit="1" customWidth="1"/>
    <col min="53" max="53" width="6.7109375" bestFit="1" customWidth="1"/>
    <col min="54" max="54" width="6.5703125" bestFit="1" customWidth="1"/>
    <col min="55" max="55" width="10" bestFit="1" customWidth="1"/>
    <col min="56" max="56" width="8.140625" bestFit="1" customWidth="1"/>
    <col min="57" max="58" width="6.5703125" bestFit="1" customWidth="1"/>
    <col min="59" max="59" width="8.28515625" bestFit="1" customWidth="1"/>
  </cols>
  <sheetData>
    <row r="1" spans="1:6" ht="21.75" thickBot="1" x14ac:dyDescent="0.35">
      <c r="A1" s="9" t="s">
        <v>102</v>
      </c>
      <c r="F1" s="1"/>
    </row>
    <row r="2" spans="1:6" ht="16.5" thickBot="1" x14ac:dyDescent="0.3">
      <c r="A2" s="209" t="s">
        <v>1</v>
      </c>
      <c r="B2" s="210" t="s">
        <v>289</v>
      </c>
      <c r="C2" s="210" t="s">
        <v>293</v>
      </c>
    </row>
    <row r="3" spans="1:6" s="47" customFormat="1" x14ac:dyDescent="0.25">
      <c r="A3" s="211" t="s">
        <v>119</v>
      </c>
      <c r="B3" s="212">
        <v>0</v>
      </c>
      <c r="C3" s="212">
        <v>0</v>
      </c>
    </row>
    <row r="4" spans="1:6" ht="45" x14ac:dyDescent="0.25">
      <c r="A4" s="213" t="s">
        <v>2</v>
      </c>
      <c r="B4" s="214" t="s">
        <v>53</v>
      </c>
      <c r="C4" s="214" t="s">
        <v>53</v>
      </c>
    </row>
    <row r="5" spans="1:6" x14ac:dyDescent="0.25">
      <c r="A5" s="215" t="s">
        <v>3</v>
      </c>
      <c r="B5" s="33">
        <v>40</v>
      </c>
      <c r="C5" s="287">
        <f>B5/Conversions!$B$4</f>
        <v>1.2275549254106937E-4</v>
      </c>
    </row>
    <row r="6" spans="1:6" x14ac:dyDescent="0.25">
      <c r="A6" s="29" t="s">
        <v>4</v>
      </c>
      <c r="B6" s="32">
        <v>35</v>
      </c>
      <c r="C6" s="288">
        <f>B6/Conversions!$B$4</f>
        <v>1.0741105597343572E-4</v>
      </c>
    </row>
    <row r="7" spans="1:6" x14ac:dyDescent="0.25">
      <c r="A7" s="30" t="s">
        <v>5</v>
      </c>
      <c r="B7" s="33">
        <v>25</v>
      </c>
      <c r="C7" s="287">
        <f>B7/Conversions!$B$4</f>
        <v>7.6722182838168367E-5</v>
      </c>
    </row>
    <row r="8" spans="1:6" x14ac:dyDescent="0.25">
      <c r="A8" s="29" t="s">
        <v>6</v>
      </c>
      <c r="B8" s="32">
        <v>15</v>
      </c>
      <c r="C8" s="288">
        <f>B8/Conversions!$B$4</f>
        <v>4.6033309702901018E-5</v>
      </c>
    </row>
    <row r="9" spans="1:6" x14ac:dyDescent="0.25">
      <c r="A9" s="30" t="s">
        <v>7</v>
      </c>
      <c r="B9" s="33">
        <v>2.5</v>
      </c>
      <c r="C9" s="287">
        <f>B9/Conversions!$B$4</f>
        <v>7.6722182838168357E-6</v>
      </c>
    </row>
    <row r="10" spans="1:6" x14ac:dyDescent="0.25">
      <c r="A10" s="29" t="s">
        <v>121</v>
      </c>
      <c r="B10" s="32">
        <v>5</v>
      </c>
      <c r="C10" s="288">
        <f>B10/Conversions!$B$4</f>
        <v>1.5344436567633671E-5</v>
      </c>
    </row>
    <row r="11" spans="1:6" ht="45.75" thickBot="1" x14ac:dyDescent="0.3">
      <c r="A11" s="216" t="s">
        <v>122</v>
      </c>
      <c r="B11" s="217">
        <v>30</v>
      </c>
      <c r="C11" s="289">
        <f>B11/Conversions!$B$4</f>
        <v>9.2066619405802036E-5</v>
      </c>
    </row>
    <row r="12" spans="1:6" ht="15.75" thickBot="1" x14ac:dyDescent="0.3"/>
    <row r="13" spans="1:6" ht="15.75" x14ac:dyDescent="0.25">
      <c r="A13" s="209" t="s">
        <v>8</v>
      </c>
      <c r="B13" s="261" t="s">
        <v>16</v>
      </c>
    </row>
    <row r="14" spans="1:6" x14ac:dyDescent="0.25">
      <c r="A14" s="28" t="s">
        <v>9</v>
      </c>
      <c r="B14" s="31">
        <v>30</v>
      </c>
    </row>
    <row r="15" spans="1:6" x14ac:dyDescent="0.25">
      <c r="A15" s="29" t="s">
        <v>10</v>
      </c>
      <c r="B15" s="32">
        <v>15</v>
      </c>
    </row>
    <row r="16" spans="1:6" x14ac:dyDescent="0.25">
      <c r="A16" s="30" t="s">
        <v>11</v>
      </c>
      <c r="B16" s="33">
        <v>2.5</v>
      </c>
    </row>
    <row r="17" spans="1:2" ht="30.75" thickBot="1" x14ac:dyDescent="0.3">
      <c r="A17" s="218" t="s">
        <v>12</v>
      </c>
      <c r="B17" s="219">
        <v>0.25</v>
      </c>
    </row>
    <row r="18" spans="1:2" ht="15.75" thickBot="1" x14ac:dyDescent="0.3">
      <c r="A18" s="220" t="s">
        <v>120</v>
      </c>
      <c r="B18" s="221">
        <v>0</v>
      </c>
    </row>
    <row r="19" spans="1:2" x14ac:dyDescent="0.25">
      <c r="A19" s="51"/>
      <c r="B19" s="52"/>
    </row>
    <row r="20" spans="1:2" ht="15.75" thickBot="1" x14ac:dyDescent="0.3"/>
    <row r="21" spans="1:2" ht="15.75" x14ac:dyDescent="0.25">
      <c r="A21" s="209" t="s">
        <v>13</v>
      </c>
      <c r="B21" s="210" t="s">
        <v>14</v>
      </c>
    </row>
    <row r="22" spans="1:2" ht="15.75" thickBot="1" x14ac:dyDescent="0.3">
      <c r="A22" s="222" t="s">
        <v>166</v>
      </c>
      <c r="B22" s="223">
        <f>18.5/100</f>
        <v>0.185</v>
      </c>
    </row>
    <row r="24" spans="1:2" ht="21.75" thickBot="1" x14ac:dyDescent="0.35">
      <c r="A24" s="9" t="s">
        <v>281</v>
      </c>
    </row>
    <row r="25" spans="1:2" ht="15.75" x14ac:dyDescent="0.25">
      <c r="A25" s="209" t="s">
        <v>15</v>
      </c>
      <c r="B25" s="210" t="s">
        <v>16</v>
      </c>
    </row>
    <row r="26" spans="1:2" x14ac:dyDescent="0.25">
      <c r="A26" s="28" t="s">
        <v>17</v>
      </c>
      <c r="B26" s="31">
        <v>15</v>
      </c>
    </row>
    <row r="27" spans="1:2" x14ac:dyDescent="0.25">
      <c r="A27" s="29" t="s">
        <v>11</v>
      </c>
      <c r="B27" s="32">
        <v>2.5</v>
      </c>
    </row>
    <row r="28" spans="1:2" x14ac:dyDescent="0.25">
      <c r="A28" s="30" t="s">
        <v>18</v>
      </c>
      <c r="B28" s="33">
        <v>1.5</v>
      </c>
    </row>
    <row r="29" spans="1:2" x14ac:dyDescent="0.25">
      <c r="A29" s="29" t="s">
        <v>9</v>
      </c>
      <c r="B29" s="32">
        <v>30</v>
      </c>
    </row>
    <row r="30" spans="1:2" x14ac:dyDescent="0.25">
      <c r="A30" s="30" t="s">
        <v>19</v>
      </c>
      <c r="B30" s="33">
        <v>35</v>
      </c>
    </row>
    <row r="31" spans="1:2" ht="15.75" thickBot="1" x14ac:dyDescent="0.3">
      <c r="A31" s="224" t="s">
        <v>119</v>
      </c>
      <c r="B31" s="225">
        <v>0</v>
      </c>
    </row>
    <row r="33" spans="1:59" ht="19.5" thickBot="1" x14ac:dyDescent="0.35">
      <c r="A33" s="9" t="s">
        <v>285</v>
      </c>
      <c r="B33" s="69" t="s">
        <v>284</v>
      </c>
    </row>
    <row r="34" spans="1:59" s="55" customFormat="1" ht="39.75" customHeight="1" x14ac:dyDescent="0.25">
      <c r="A34" s="262" t="s">
        <v>20</v>
      </c>
      <c r="B34" s="263" t="s">
        <v>203</v>
      </c>
      <c r="C34" s="263" t="s">
        <v>204</v>
      </c>
      <c r="D34" s="263" t="s">
        <v>205</v>
      </c>
      <c r="E34" s="263" t="s">
        <v>206</v>
      </c>
      <c r="F34" s="263" t="s">
        <v>207</v>
      </c>
      <c r="G34" s="263" t="s">
        <v>208</v>
      </c>
      <c r="H34" s="263" t="s">
        <v>209</v>
      </c>
      <c r="I34" s="263" t="s">
        <v>210</v>
      </c>
      <c r="J34" s="263" t="s">
        <v>211</v>
      </c>
      <c r="K34" s="263" t="s">
        <v>212</v>
      </c>
      <c r="L34" s="263" t="s">
        <v>213</v>
      </c>
      <c r="M34" s="263" t="s">
        <v>214</v>
      </c>
      <c r="N34" s="263" t="s">
        <v>215</v>
      </c>
      <c r="O34" s="263" t="s">
        <v>216</v>
      </c>
      <c r="P34" s="263" t="s">
        <v>217</v>
      </c>
      <c r="Q34" s="263" t="s">
        <v>218</v>
      </c>
      <c r="R34" s="263" t="s">
        <v>219</v>
      </c>
      <c r="S34" s="263" t="s">
        <v>220</v>
      </c>
      <c r="T34" s="263" t="s">
        <v>221</v>
      </c>
      <c r="U34" s="263" t="s">
        <v>222</v>
      </c>
      <c r="V34" s="263" t="s">
        <v>223</v>
      </c>
      <c r="W34" s="263" t="s">
        <v>224</v>
      </c>
      <c r="X34" s="263" t="s">
        <v>225</v>
      </c>
      <c r="Y34" s="263" t="s">
        <v>226</v>
      </c>
      <c r="Z34" s="263" t="s">
        <v>227</v>
      </c>
      <c r="AA34" s="263" t="s">
        <v>228</v>
      </c>
      <c r="AB34" s="263" t="s">
        <v>229</v>
      </c>
      <c r="AC34" s="263" t="s">
        <v>230</v>
      </c>
      <c r="AD34" s="263" t="s">
        <v>231</v>
      </c>
      <c r="AE34" s="263" t="s">
        <v>232</v>
      </c>
      <c r="AF34" s="263" t="s">
        <v>233</v>
      </c>
      <c r="AG34" s="263" t="s">
        <v>234</v>
      </c>
      <c r="AH34" s="263" t="s">
        <v>235</v>
      </c>
      <c r="AI34" s="263" t="s">
        <v>236</v>
      </c>
      <c r="AJ34" s="263" t="s">
        <v>237</v>
      </c>
      <c r="AK34" s="263" t="s">
        <v>238</v>
      </c>
      <c r="AL34" s="263" t="s">
        <v>239</v>
      </c>
      <c r="AM34" s="263" t="s">
        <v>240</v>
      </c>
      <c r="AN34" s="263" t="s">
        <v>241</v>
      </c>
      <c r="AO34" s="263" t="s">
        <v>242</v>
      </c>
      <c r="AP34" s="263" t="s">
        <v>243</v>
      </c>
      <c r="AQ34" s="263" t="s">
        <v>244</v>
      </c>
      <c r="AR34" s="263" t="s">
        <v>245</v>
      </c>
      <c r="AS34" s="263" t="s">
        <v>246</v>
      </c>
      <c r="AT34" s="263" t="s">
        <v>247</v>
      </c>
      <c r="AU34" s="263" t="s">
        <v>248</v>
      </c>
      <c r="AV34" s="263" t="s">
        <v>249</v>
      </c>
      <c r="AW34" s="263" t="s">
        <v>250</v>
      </c>
      <c r="AX34" s="263" t="s">
        <v>251</v>
      </c>
      <c r="AY34" s="263" t="s">
        <v>252</v>
      </c>
      <c r="AZ34" s="263" t="s">
        <v>253</v>
      </c>
      <c r="BA34" s="263" t="s">
        <v>254</v>
      </c>
      <c r="BB34" s="263" t="s">
        <v>255</v>
      </c>
      <c r="BC34" s="263" t="s">
        <v>256</v>
      </c>
      <c r="BD34" s="263" t="s">
        <v>257</v>
      </c>
      <c r="BE34" s="263" t="s">
        <v>258</v>
      </c>
      <c r="BF34" s="264" t="s">
        <v>259</v>
      </c>
      <c r="BG34" s="265" t="s">
        <v>288</v>
      </c>
    </row>
    <row r="35" spans="1:59" x14ac:dyDescent="0.25">
      <c r="A35" s="266" t="s">
        <v>182</v>
      </c>
      <c r="B35" s="267">
        <f t="shared" ref="B35:AG35" si="0">B59/365</f>
        <v>3.3620168751569901E-3</v>
      </c>
      <c r="C35" s="267">
        <f t="shared" si="0"/>
        <v>0</v>
      </c>
      <c r="D35" s="267">
        <f t="shared" si="0"/>
        <v>4.1775705033552122E-4</v>
      </c>
      <c r="E35" s="267">
        <f t="shared" si="0"/>
        <v>4.1380933343474196E-4</v>
      </c>
      <c r="F35" s="267">
        <f t="shared" si="0"/>
        <v>7.0877030179366369E-4</v>
      </c>
      <c r="G35" s="267">
        <f t="shared" si="0"/>
        <v>1.0832611040612406E-3</v>
      </c>
      <c r="H35" s="267">
        <f t="shared" si="0"/>
        <v>4.8104395808145437E-3</v>
      </c>
      <c r="I35" s="267">
        <f t="shared" si="0"/>
        <v>2.9171290402793955E-4</v>
      </c>
      <c r="J35" s="267">
        <f t="shared" si="0"/>
        <v>0</v>
      </c>
      <c r="K35" s="267">
        <f t="shared" si="0"/>
        <v>3.4472589373272314E-3</v>
      </c>
      <c r="L35" s="267">
        <f t="shared" si="0"/>
        <v>8.9422532199510995E-4</v>
      </c>
      <c r="M35" s="267">
        <f t="shared" si="0"/>
        <v>4.7854961223834096E-4</v>
      </c>
      <c r="N35" s="267">
        <f t="shared" si="0"/>
        <v>6.3637336536797847E-3</v>
      </c>
      <c r="O35" s="267">
        <f t="shared" si="0"/>
        <v>0</v>
      </c>
      <c r="P35" s="267">
        <f t="shared" si="0"/>
        <v>5.0925535936687388E-3</v>
      </c>
      <c r="Q35" s="267">
        <f t="shared" si="0"/>
        <v>4.0398800477017775E-3</v>
      </c>
      <c r="R35" s="267">
        <f t="shared" si="0"/>
        <v>1.1023865475186514E-3</v>
      </c>
      <c r="S35" s="267">
        <f t="shared" si="0"/>
        <v>3.8609439501762336E-3</v>
      </c>
      <c r="T35" s="267">
        <f t="shared" si="0"/>
        <v>4.942837401596162E-3</v>
      </c>
      <c r="U35" s="267">
        <f t="shared" si="0"/>
        <v>2.812170234668448E-3</v>
      </c>
      <c r="V35" s="267">
        <f t="shared" si="0"/>
        <v>2.2788443629643889E-4</v>
      </c>
      <c r="W35" s="267">
        <f t="shared" si="0"/>
        <v>0</v>
      </c>
      <c r="X35" s="267">
        <f t="shared" si="0"/>
        <v>3.7103718199608623E-4</v>
      </c>
      <c r="Y35" s="267">
        <f t="shared" si="0"/>
        <v>2.6590604208665686E-3</v>
      </c>
      <c r="Z35" s="267">
        <f t="shared" si="0"/>
        <v>5.0354046013963323E-3</v>
      </c>
      <c r="AA35" s="267">
        <f t="shared" si="0"/>
        <v>5.8929794520547942E-3</v>
      </c>
      <c r="AB35" s="267">
        <f t="shared" si="0"/>
        <v>1.5325384883030616E-3</v>
      </c>
      <c r="AC35" s="267">
        <f t="shared" si="0"/>
        <v>4.8768730165106664E-3</v>
      </c>
      <c r="AD35" s="267">
        <f t="shared" si="0"/>
        <v>0</v>
      </c>
      <c r="AE35" s="267">
        <f t="shared" si="0"/>
        <v>3.4600758015121782E-3</v>
      </c>
      <c r="AF35" s="267">
        <f t="shared" si="0"/>
        <v>2.9929205693688277E-3</v>
      </c>
      <c r="AG35" s="267">
        <f t="shared" si="0"/>
        <v>3.6525867246260755E-3</v>
      </c>
      <c r="AH35" s="267">
        <f t="shared" ref="AH35:BF35" si="1">AH59/365</f>
        <v>4.2453209983296953E-3</v>
      </c>
      <c r="AI35" s="267">
        <f t="shared" si="1"/>
        <v>2.4398155138897291E-3</v>
      </c>
      <c r="AJ35" s="267">
        <f t="shared" si="1"/>
        <v>0</v>
      </c>
      <c r="AK35" s="267">
        <f t="shared" si="1"/>
        <v>4.6414839574289712E-3</v>
      </c>
      <c r="AL35" s="267">
        <f t="shared" si="1"/>
        <v>3.1035958904109596E-3</v>
      </c>
      <c r="AM35" s="267">
        <f t="shared" si="1"/>
        <v>1.9709486503893215E-3</v>
      </c>
      <c r="AN35" s="267">
        <f t="shared" si="1"/>
        <v>2.7803192969795567E-3</v>
      </c>
      <c r="AO35" s="267">
        <f t="shared" si="1"/>
        <v>0</v>
      </c>
      <c r="AP35" s="267">
        <f t="shared" si="1"/>
        <v>3.4734918878507161E-3</v>
      </c>
      <c r="AQ35" s="267">
        <f t="shared" si="1"/>
        <v>4.7862341202972454E-4</v>
      </c>
      <c r="AR35" s="267">
        <f t="shared" si="1"/>
        <v>0</v>
      </c>
      <c r="AS35" s="267">
        <f t="shared" si="1"/>
        <v>2.5100382691422467E-3</v>
      </c>
      <c r="AT35" s="267">
        <f t="shared" si="1"/>
        <v>7.6602739726027392E-3</v>
      </c>
      <c r="AU35" s="267">
        <f t="shared" si="1"/>
        <v>4.8180927050727011E-3</v>
      </c>
      <c r="AV35" s="267">
        <f t="shared" si="1"/>
        <v>1.4531261142930853E-3</v>
      </c>
      <c r="AW35" s="267">
        <f t="shared" si="1"/>
        <v>7.9541499061180345E-4</v>
      </c>
      <c r="AX35" s="267">
        <f t="shared" si="1"/>
        <v>2.5438662951379918E-3</v>
      </c>
      <c r="AY35" s="267">
        <f t="shared" si="1"/>
        <v>2.2154009143045012E-3</v>
      </c>
      <c r="AZ35" s="267">
        <f t="shared" si="1"/>
        <v>6.5950793655080808E-4</v>
      </c>
      <c r="BA35" s="267">
        <f t="shared" si="1"/>
        <v>4.2821569299779077E-3</v>
      </c>
      <c r="BB35" s="267">
        <f t="shared" si="1"/>
        <v>4.5124043424882247E-3</v>
      </c>
      <c r="BC35" s="267">
        <f t="shared" si="1"/>
        <v>0</v>
      </c>
      <c r="BD35" s="267">
        <f t="shared" si="1"/>
        <v>2.6897640074960202E-3</v>
      </c>
      <c r="BE35" s="267">
        <f t="shared" si="1"/>
        <v>2.0508824632680454E-3</v>
      </c>
      <c r="BF35" s="268">
        <f t="shared" si="1"/>
        <v>2.1729707626252297E-3</v>
      </c>
      <c r="BG35" s="269">
        <f>AVERAGE($B35:$BF35)</f>
        <v>2.3915994114737924E-3</v>
      </c>
    </row>
    <row r="36" spans="1:59" x14ac:dyDescent="0.25">
      <c r="A36" s="270" t="s">
        <v>193</v>
      </c>
      <c r="B36" s="271">
        <f t="shared" ref="B36:AG36" si="2">B60/365</f>
        <v>0</v>
      </c>
      <c r="C36" s="271">
        <f t="shared" si="2"/>
        <v>0</v>
      </c>
      <c r="D36" s="271">
        <f t="shared" si="2"/>
        <v>0</v>
      </c>
      <c r="E36" s="271">
        <f t="shared" si="2"/>
        <v>1.1507157645259882E-2</v>
      </c>
      <c r="F36" s="271">
        <f t="shared" si="2"/>
        <v>0</v>
      </c>
      <c r="G36" s="271">
        <f t="shared" si="2"/>
        <v>1.1492744182857371E-2</v>
      </c>
      <c r="H36" s="271">
        <f t="shared" si="2"/>
        <v>0</v>
      </c>
      <c r="I36" s="271">
        <f t="shared" si="2"/>
        <v>0</v>
      </c>
      <c r="J36" s="271">
        <f t="shared" si="2"/>
        <v>0</v>
      </c>
      <c r="K36" s="271">
        <f t="shared" si="2"/>
        <v>1.4428240252897784E-2</v>
      </c>
      <c r="L36" s="271">
        <f t="shared" si="2"/>
        <v>1.150690447407411E-2</v>
      </c>
      <c r="M36" s="271">
        <f t="shared" si="2"/>
        <v>0</v>
      </c>
      <c r="N36" s="271">
        <f t="shared" si="2"/>
        <v>0</v>
      </c>
      <c r="O36" s="271">
        <f t="shared" si="2"/>
        <v>0</v>
      </c>
      <c r="P36" s="271">
        <f t="shared" si="2"/>
        <v>0</v>
      </c>
      <c r="Q36" s="271">
        <f t="shared" si="2"/>
        <v>0</v>
      </c>
      <c r="R36" s="271">
        <f t="shared" si="2"/>
        <v>1.4691407222914071E-2</v>
      </c>
      <c r="S36" s="271">
        <f t="shared" si="2"/>
        <v>1.1997542482104976E-2</v>
      </c>
      <c r="T36" s="271">
        <f t="shared" si="2"/>
        <v>0</v>
      </c>
      <c r="U36" s="271">
        <f t="shared" si="2"/>
        <v>0</v>
      </c>
      <c r="V36" s="271">
        <f t="shared" si="2"/>
        <v>0</v>
      </c>
      <c r="W36" s="271">
        <f t="shared" si="2"/>
        <v>0</v>
      </c>
      <c r="X36" s="271">
        <f t="shared" si="2"/>
        <v>0</v>
      </c>
      <c r="Y36" s="271">
        <f t="shared" si="2"/>
        <v>1.5126284027383235E-2</v>
      </c>
      <c r="Z36" s="271">
        <f t="shared" si="2"/>
        <v>1.3040352331591133E-2</v>
      </c>
      <c r="AA36" s="271">
        <f t="shared" si="2"/>
        <v>0</v>
      </c>
      <c r="AB36" s="271">
        <f t="shared" si="2"/>
        <v>0</v>
      </c>
      <c r="AC36" s="271">
        <f t="shared" si="2"/>
        <v>0</v>
      </c>
      <c r="AD36" s="271">
        <f t="shared" si="2"/>
        <v>0</v>
      </c>
      <c r="AE36" s="271">
        <f t="shared" si="2"/>
        <v>0</v>
      </c>
      <c r="AF36" s="271">
        <f t="shared" si="2"/>
        <v>1.4456457925636006E-2</v>
      </c>
      <c r="AG36" s="271">
        <f t="shared" si="2"/>
        <v>0</v>
      </c>
      <c r="AH36" s="271">
        <f t="shared" ref="AH36:BF36" si="3">AH60/365</f>
        <v>0</v>
      </c>
      <c r="AI36" s="271">
        <f t="shared" si="3"/>
        <v>1.3855421649718294E-2</v>
      </c>
      <c r="AJ36" s="271">
        <f t="shared" si="3"/>
        <v>0</v>
      </c>
      <c r="AK36" s="271">
        <f t="shared" si="3"/>
        <v>0</v>
      </c>
      <c r="AL36" s="271">
        <f t="shared" si="3"/>
        <v>0</v>
      </c>
      <c r="AM36" s="271">
        <f t="shared" si="3"/>
        <v>1.4429205989933806E-2</v>
      </c>
      <c r="AN36" s="271">
        <f t="shared" si="3"/>
        <v>0</v>
      </c>
      <c r="AO36" s="271">
        <f t="shared" si="3"/>
        <v>0</v>
      </c>
      <c r="AP36" s="271">
        <f t="shared" si="3"/>
        <v>0</v>
      </c>
      <c r="AQ36" s="271">
        <f t="shared" si="3"/>
        <v>0</v>
      </c>
      <c r="AR36" s="271">
        <f t="shared" si="3"/>
        <v>0</v>
      </c>
      <c r="AS36" s="271">
        <f t="shared" si="3"/>
        <v>1.2859775840597757E-2</v>
      </c>
      <c r="AT36" s="271">
        <f t="shared" si="3"/>
        <v>0</v>
      </c>
      <c r="AU36" s="271">
        <f t="shared" si="3"/>
        <v>1.290560398505604E-2</v>
      </c>
      <c r="AV36" s="271">
        <f t="shared" si="3"/>
        <v>0</v>
      </c>
      <c r="AW36" s="271">
        <f t="shared" si="3"/>
        <v>0</v>
      </c>
      <c r="AX36" s="271">
        <f t="shared" si="3"/>
        <v>1.5584931506849316E-2</v>
      </c>
      <c r="AY36" s="271">
        <f t="shared" si="3"/>
        <v>1.377893354889239E-2</v>
      </c>
      <c r="AZ36" s="271">
        <f t="shared" si="3"/>
        <v>1.1520438744433793E-2</v>
      </c>
      <c r="BA36" s="271">
        <f t="shared" si="3"/>
        <v>0</v>
      </c>
      <c r="BB36" s="271">
        <f t="shared" si="3"/>
        <v>0</v>
      </c>
      <c r="BC36" s="271">
        <f t="shared" si="3"/>
        <v>0</v>
      </c>
      <c r="BD36" s="271">
        <f t="shared" si="3"/>
        <v>0</v>
      </c>
      <c r="BE36" s="271">
        <f t="shared" si="3"/>
        <v>1.3899263615895351E-2</v>
      </c>
      <c r="BF36" s="272">
        <f t="shared" si="3"/>
        <v>1.3863276418861644E-2</v>
      </c>
      <c r="BG36" s="273">
        <f t="shared" ref="BG36:BG55" si="4">AVERAGE($B36:$BF36)</f>
        <v>4.2270866990343327E-3</v>
      </c>
    </row>
    <row r="37" spans="1:59" x14ac:dyDescent="0.25">
      <c r="A37" s="266" t="s">
        <v>175</v>
      </c>
      <c r="B37" s="267">
        <f t="shared" ref="B37:AG37" si="5">B61/365</f>
        <v>0</v>
      </c>
      <c r="C37" s="267">
        <f t="shared" si="5"/>
        <v>0</v>
      </c>
      <c r="D37" s="267">
        <f t="shared" si="5"/>
        <v>0</v>
      </c>
      <c r="E37" s="267">
        <f t="shared" si="5"/>
        <v>0</v>
      </c>
      <c r="F37" s="267">
        <f t="shared" si="5"/>
        <v>0</v>
      </c>
      <c r="G37" s="267">
        <f t="shared" si="5"/>
        <v>0</v>
      </c>
      <c r="H37" s="267">
        <f t="shared" si="5"/>
        <v>0</v>
      </c>
      <c r="I37" s="267">
        <f t="shared" si="5"/>
        <v>0</v>
      </c>
      <c r="J37" s="267">
        <f t="shared" si="5"/>
        <v>0</v>
      </c>
      <c r="K37" s="267">
        <f t="shared" si="5"/>
        <v>7.9352497905615434E-3</v>
      </c>
      <c r="L37" s="267">
        <f t="shared" si="5"/>
        <v>6.4296344898220467E-3</v>
      </c>
      <c r="M37" s="267">
        <f t="shared" si="5"/>
        <v>0</v>
      </c>
      <c r="N37" s="267">
        <f t="shared" si="5"/>
        <v>1.4652128597639558E-2</v>
      </c>
      <c r="O37" s="267">
        <f t="shared" si="5"/>
        <v>0</v>
      </c>
      <c r="P37" s="267">
        <f t="shared" si="5"/>
        <v>8.600745995874487E-3</v>
      </c>
      <c r="Q37" s="267">
        <f t="shared" si="5"/>
        <v>8.2039609769569526E-3</v>
      </c>
      <c r="R37" s="267">
        <f t="shared" si="5"/>
        <v>0</v>
      </c>
      <c r="S37" s="267">
        <f t="shared" si="5"/>
        <v>0</v>
      </c>
      <c r="T37" s="267">
        <f t="shared" si="5"/>
        <v>0</v>
      </c>
      <c r="U37" s="267">
        <f t="shared" si="5"/>
        <v>8.6373675487840477E-3</v>
      </c>
      <c r="V37" s="267">
        <f t="shared" si="5"/>
        <v>0</v>
      </c>
      <c r="W37" s="267">
        <f t="shared" si="5"/>
        <v>0</v>
      </c>
      <c r="X37" s="267">
        <f t="shared" si="5"/>
        <v>0</v>
      </c>
      <c r="Y37" s="267">
        <f t="shared" si="5"/>
        <v>8.2204809713845705E-3</v>
      </c>
      <c r="Z37" s="267">
        <f t="shared" si="5"/>
        <v>0</v>
      </c>
      <c r="AA37" s="267">
        <f t="shared" si="5"/>
        <v>0</v>
      </c>
      <c r="AB37" s="267">
        <f t="shared" si="5"/>
        <v>0</v>
      </c>
      <c r="AC37" s="267">
        <f t="shared" si="5"/>
        <v>0</v>
      </c>
      <c r="AD37" s="267">
        <f t="shared" si="5"/>
        <v>0</v>
      </c>
      <c r="AE37" s="267">
        <f t="shared" si="5"/>
        <v>0</v>
      </c>
      <c r="AF37" s="267">
        <f t="shared" si="5"/>
        <v>0</v>
      </c>
      <c r="AG37" s="267">
        <f t="shared" si="5"/>
        <v>0</v>
      </c>
      <c r="AH37" s="267">
        <f t="shared" ref="AH37:BF37" si="6">AH61/365</f>
        <v>1.4191352739726028E-2</v>
      </c>
      <c r="AI37" s="267">
        <f t="shared" si="6"/>
        <v>0</v>
      </c>
      <c r="AJ37" s="267">
        <f t="shared" si="6"/>
        <v>0</v>
      </c>
      <c r="AK37" s="267">
        <f t="shared" si="6"/>
        <v>1.4486899317828251E-2</v>
      </c>
      <c r="AL37" s="267">
        <f t="shared" si="6"/>
        <v>0</v>
      </c>
      <c r="AM37" s="267">
        <f t="shared" si="6"/>
        <v>0</v>
      </c>
      <c r="AN37" s="267">
        <f t="shared" si="6"/>
        <v>0</v>
      </c>
      <c r="AO37" s="267">
        <f t="shared" si="6"/>
        <v>0</v>
      </c>
      <c r="AP37" s="267">
        <f t="shared" si="6"/>
        <v>0</v>
      </c>
      <c r="AQ37" s="267">
        <f t="shared" si="6"/>
        <v>0</v>
      </c>
      <c r="AR37" s="267">
        <f t="shared" si="6"/>
        <v>0</v>
      </c>
      <c r="AS37" s="267">
        <f t="shared" si="6"/>
        <v>0</v>
      </c>
      <c r="AT37" s="267">
        <f t="shared" si="6"/>
        <v>0</v>
      </c>
      <c r="AU37" s="267">
        <f t="shared" si="6"/>
        <v>0</v>
      </c>
      <c r="AV37" s="267">
        <f t="shared" si="6"/>
        <v>0</v>
      </c>
      <c r="AW37" s="267">
        <f t="shared" si="6"/>
        <v>0</v>
      </c>
      <c r="AX37" s="267">
        <f t="shared" si="6"/>
        <v>0</v>
      </c>
      <c r="AY37" s="267">
        <f t="shared" si="6"/>
        <v>8.2433435399952501E-3</v>
      </c>
      <c r="AZ37" s="267">
        <f t="shared" si="6"/>
        <v>0</v>
      </c>
      <c r="BA37" s="267">
        <f t="shared" si="6"/>
        <v>0</v>
      </c>
      <c r="BB37" s="267">
        <f t="shared" si="6"/>
        <v>8.1566427091263362E-3</v>
      </c>
      <c r="BC37" s="267">
        <f t="shared" si="6"/>
        <v>0</v>
      </c>
      <c r="BD37" s="267">
        <f t="shared" si="6"/>
        <v>0</v>
      </c>
      <c r="BE37" s="267">
        <f t="shared" si="6"/>
        <v>0</v>
      </c>
      <c r="BF37" s="268">
        <f t="shared" si="6"/>
        <v>0</v>
      </c>
      <c r="BG37" s="274">
        <f t="shared" si="4"/>
        <v>1.8904878364508606E-3</v>
      </c>
    </row>
    <row r="38" spans="1:59" x14ac:dyDescent="0.25">
      <c r="A38" s="270" t="s">
        <v>173</v>
      </c>
      <c r="B38" s="271">
        <f t="shared" ref="B38:AG38" si="7">B62/365</f>
        <v>0</v>
      </c>
      <c r="C38" s="271">
        <f t="shared" si="7"/>
        <v>0</v>
      </c>
      <c r="D38" s="271">
        <f t="shared" si="7"/>
        <v>0</v>
      </c>
      <c r="E38" s="271">
        <f t="shared" si="7"/>
        <v>0</v>
      </c>
      <c r="F38" s="271">
        <f t="shared" si="7"/>
        <v>0</v>
      </c>
      <c r="G38" s="271">
        <f t="shared" si="7"/>
        <v>0</v>
      </c>
      <c r="H38" s="271">
        <f t="shared" si="7"/>
        <v>0</v>
      </c>
      <c r="I38" s="271">
        <f t="shared" si="7"/>
        <v>0</v>
      </c>
      <c r="J38" s="271">
        <f t="shared" si="7"/>
        <v>0</v>
      </c>
      <c r="K38" s="271">
        <f t="shared" si="7"/>
        <v>0</v>
      </c>
      <c r="L38" s="271">
        <f t="shared" si="7"/>
        <v>0</v>
      </c>
      <c r="M38" s="271">
        <f t="shared" si="7"/>
        <v>0</v>
      </c>
      <c r="N38" s="271">
        <f t="shared" si="7"/>
        <v>1.4362252663622526E-2</v>
      </c>
      <c r="O38" s="271">
        <f t="shared" si="7"/>
        <v>0</v>
      </c>
      <c r="P38" s="271">
        <f t="shared" si="7"/>
        <v>7.7186903657965522E-3</v>
      </c>
      <c r="Q38" s="271">
        <f t="shared" si="7"/>
        <v>0</v>
      </c>
      <c r="R38" s="271">
        <f t="shared" si="7"/>
        <v>0</v>
      </c>
      <c r="S38" s="271">
        <f t="shared" si="7"/>
        <v>0</v>
      </c>
      <c r="T38" s="271">
        <f t="shared" si="7"/>
        <v>0</v>
      </c>
      <c r="U38" s="271">
        <f t="shared" si="7"/>
        <v>0</v>
      </c>
      <c r="V38" s="271">
        <f t="shared" si="7"/>
        <v>0</v>
      </c>
      <c r="W38" s="271">
        <f t="shared" si="7"/>
        <v>0</v>
      </c>
      <c r="X38" s="271">
        <f t="shared" si="7"/>
        <v>0</v>
      </c>
      <c r="Y38" s="271">
        <f t="shared" si="7"/>
        <v>4.3022964449179503E-3</v>
      </c>
      <c r="Z38" s="271">
        <f t="shared" si="7"/>
        <v>0</v>
      </c>
      <c r="AA38" s="271">
        <f t="shared" si="7"/>
        <v>0</v>
      </c>
      <c r="AB38" s="271">
        <f t="shared" si="7"/>
        <v>0</v>
      </c>
      <c r="AC38" s="271">
        <f t="shared" si="7"/>
        <v>0</v>
      </c>
      <c r="AD38" s="271">
        <f t="shared" si="7"/>
        <v>0</v>
      </c>
      <c r="AE38" s="271">
        <f t="shared" si="7"/>
        <v>0</v>
      </c>
      <c r="AF38" s="271">
        <f t="shared" si="7"/>
        <v>0</v>
      </c>
      <c r="AG38" s="271">
        <f t="shared" si="7"/>
        <v>0</v>
      </c>
      <c r="AH38" s="271">
        <f t="shared" ref="AH38:BF38" si="8">AH62/365</f>
        <v>0</v>
      </c>
      <c r="AI38" s="271">
        <f t="shared" si="8"/>
        <v>0</v>
      </c>
      <c r="AJ38" s="271">
        <f t="shared" si="8"/>
        <v>0</v>
      </c>
      <c r="AK38" s="271">
        <f t="shared" si="8"/>
        <v>0</v>
      </c>
      <c r="AL38" s="271">
        <f t="shared" si="8"/>
        <v>0</v>
      </c>
      <c r="AM38" s="271">
        <f t="shared" si="8"/>
        <v>0</v>
      </c>
      <c r="AN38" s="271">
        <f t="shared" si="8"/>
        <v>0</v>
      </c>
      <c r="AO38" s="271">
        <f t="shared" si="8"/>
        <v>0</v>
      </c>
      <c r="AP38" s="271">
        <f t="shared" si="8"/>
        <v>0</v>
      </c>
      <c r="AQ38" s="271">
        <f t="shared" si="8"/>
        <v>0</v>
      </c>
      <c r="AR38" s="271">
        <f t="shared" si="8"/>
        <v>0</v>
      </c>
      <c r="AS38" s="271">
        <f t="shared" si="8"/>
        <v>0</v>
      </c>
      <c r="AT38" s="271">
        <f t="shared" si="8"/>
        <v>0</v>
      </c>
      <c r="AU38" s="271">
        <f t="shared" si="8"/>
        <v>0</v>
      </c>
      <c r="AV38" s="271">
        <f t="shared" si="8"/>
        <v>0</v>
      </c>
      <c r="AW38" s="271">
        <f t="shared" si="8"/>
        <v>0</v>
      </c>
      <c r="AX38" s="271">
        <f t="shared" si="8"/>
        <v>0</v>
      </c>
      <c r="AY38" s="271">
        <f t="shared" si="8"/>
        <v>0</v>
      </c>
      <c r="AZ38" s="271">
        <f t="shared" si="8"/>
        <v>0</v>
      </c>
      <c r="BA38" s="271">
        <f t="shared" si="8"/>
        <v>0</v>
      </c>
      <c r="BB38" s="271">
        <f t="shared" si="8"/>
        <v>0</v>
      </c>
      <c r="BC38" s="271">
        <f t="shared" si="8"/>
        <v>0</v>
      </c>
      <c r="BD38" s="271">
        <f t="shared" si="8"/>
        <v>0</v>
      </c>
      <c r="BE38" s="271">
        <f t="shared" si="8"/>
        <v>0</v>
      </c>
      <c r="BF38" s="272">
        <f t="shared" si="8"/>
        <v>0</v>
      </c>
      <c r="BG38" s="273">
        <f t="shared" si="4"/>
        <v>4.6286385042696538E-4</v>
      </c>
    </row>
    <row r="39" spans="1:59" x14ac:dyDescent="0.25">
      <c r="A39" s="266" t="s">
        <v>177</v>
      </c>
      <c r="B39" s="267">
        <f t="shared" ref="B39:AG39" si="9">B63/365</f>
        <v>0</v>
      </c>
      <c r="C39" s="267">
        <f t="shared" si="9"/>
        <v>0</v>
      </c>
      <c r="D39" s="267">
        <f t="shared" si="9"/>
        <v>0</v>
      </c>
      <c r="E39" s="267">
        <f t="shared" si="9"/>
        <v>0</v>
      </c>
      <c r="F39" s="267">
        <f t="shared" si="9"/>
        <v>0</v>
      </c>
      <c r="G39" s="267">
        <f t="shared" si="9"/>
        <v>5.0203499678851612E-3</v>
      </c>
      <c r="H39" s="267">
        <f t="shared" si="9"/>
        <v>8.5261322016451317E-3</v>
      </c>
      <c r="I39" s="267">
        <f t="shared" si="9"/>
        <v>0</v>
      </c>
      <c r="J39" s="267">
        <f t="shared" si="9"/>
        <v>0</v>
      </c>
      <c r="K39" s="267">
        <f t="shared" si="9"/>
        <v>7.5039283021980348E-3</v>
      </c>
      <c r="L39" s="267">
        <f t="shared" si="9"/>
        <v>5.1450374585577897E-3</v>
      </c>
      <c r="M39" s="267">
        <f t="shared" si="9"/>
        <v>6.5738246884417125E-4</v>
      </c>
      <c r="N39" s="267">
        <f t="shared" si="9"/>
        <v>7.513602414833247E-3</v>
      </c>
      <c r="O39" s="267">
        <f t="shared" si="9"/>
        <v>0</v>
      </c>
      <c r="P39" s="267">
        <f t="shared" si="9"/>
        <v>9.2913212134525611E-3</v>
      </c>
      <c r="Q39" s="267">
        <f t="shared" si="9"/>
        <v>8.1643544534745222E-3</v>
      </c>
      <c r="R39" s="267">
        <f t="shared" si="9"/>
        <v>7.8359917432914237E-3</v>
      </c>
      <c r="S39" s="267">
        <f t="shared" si="9"/>
        <v>0</v>
      </c>
      <c r="T39" s="267">
        <f t="shared" si="9"/>
        <v>3.7853908055930962E-3</v>
      </c>
      <c r="U39" s="267">
        <f t="shared" si="9"/>
        <v>6.9741661728773595E-3</v>
      </c>
      <c r="V39" s="267">
        <f t="shared" si="9"/>
        <v>0</v>
      </c>
      <c r="W39" s="267">
        <f t="shared" si="9"/>
        <v>0</v>
      </c>
      <c r="X39" s="267">
        <f t="shared" si="9"/>
        <v>0</v>
      </c>
      <c r="Y39" s="267">
        <f t="shared" si="9"/>
        <v>7.0145296330965954E-3</v>
      </c>
      <c r="Z39" s="267">
        <f t="shared" si="9"/>
        <v>0</v>
      </c>
      <c r="AA39" s="267">
        <f t="shared" si="9"/>
        <v>0</v>
      </c>
      <c r="AB39" s="267">
        <f t="shared" si="9"/>
        <v>0</v>
      </c>
      <c r="AC39" s="267">
        <f t="shared" si="9"/>
        <v>0</v>
      </c>
      <c r="AD39" s="267">
        <f t="shared" si="9"/>
        <v>0</v>
      </c>
      <c r="AE39" s="267">
        <f t="shared" si="9"/>
        <v>4.8253904035838536E-3</v>
      </c>
      <c r="AF39" s="267">
        <f t="shared" si="9"/>
        <v>8.2841509235877936E-3</v>
      </c>
      <c r="AG39" s="267">
        <f t="shared" si="9"/>
        <v>0</v>
      </c>
      <c r="AH39" s="267">
        <f t="shared" ref="AH39:BF39" si="10">AH63/365</f>
        <v>7.0957731764804167E-3</v>
      </c>
      <c r="AI39" s="267">
        <f t="shared" si="10"/>
        <v>7.7688867752510465E-3</v>
      </c>
      <c r="AJ39" s="267">
        <f t="shared" si="10"/>
        <v>5.5532139093782927E-3</v>
      </c>
      <c r="AK39" s="267">
        <f t="shared" si="10"/>
        <v>5.5099554117595019E-3</v>
      </c>
      <c r="AL39" s="267">
        <f t="shared" si="10"/>
        <v>5.2344883158742953E-3</v>
      </c>
      <c r="AM39" s="267">
        <f t="shared" si="10"/>
        <v>7.2879961254794798E-3</v>
      </c>
      <c r="AN39" s="267">
        <f t="shared" si="10"/>
        <v>4.4864045272225272E-3</v>
      </c>
      <c r="AO39" s="267">
        <f t="shared" si="10"/>
        <v>0</v>
      </c>
      <c r="AP39" s="267">
        <f t="shared" si="10"/>
        <v>3.6426354762041169E-3</v>
      </c>
      <c r="AQ39" s="267">
        <f t="shared" si="10"/>
        <v>3.6612035225048918E-3</v>
      </c>
      <c r="AR39" s="267">
        <f t="shared" si="10"/>
        <v>0</v>
      </c>
      <c r="AS39" s="267">
        <f t="shared" si="10"/>
        <v>5.0066422747743252E-3</v>
      </c>
      <c r="AT39" s="267">
        <f t="shared" si="10"/>
        <v>0</v>
      </c>
      <c r="AU39" s="267">
        <f t="shared" si="10"/>
        <v>0</v>
      </c>
      <c r="AV39" s="267">
        <f t="shared" si="10"/>
        <v>7.5367609354366248E-3</v>
      </c>
      <c r="AW39" s="267">
        <f t="shared" si="10"/>
        <v>4.4813634883998617E-3</v>
      </c>
      <c r="AX39" s="267">
        <f t="shared" si="10"/>
        <v>6.9155220251654282E-3</v>
      </c>
      <c r="AY39" s="267">
        <f t="shared" si="10"/>
        <v>7.357281417195027E-3</v>
      </c>
      <c r="AZ39" s="267">
        <f t="shared" si="10"/>
        <v>5.2667421568712283E-3</v>
      </c>
      <c r="BA39" s="267">
        <f t="shared" si="10"/>
        <v>0</v>
      </c>
      <c r="BB39" s="267">
        <f t="shared" si="10"/>
        <v>8.6557068162944305E-3</v>
      </c>
      <c r="BC39" s="267">
        <f t="shared" si="10"/>
        <v>0</v>
      </c>
      <c r="BD39" s="267">
        <f t="shared" si="10"/>
        <v>3.1555099309608105E-3</v>
      </c>
      <c r="BE39" s="267">
        <f t="shared" si="10"/>
        <v>7.3812759561800003E-3</v>
      </c>
      <c r="BF39" s="268">
        <f t="shared" si="10"/>
        <v>8.0909457235699405E-3</v>
      </c>
      <c r="BG39" s="274">
        <f t="shared" si="4"/>
        <v>3.5900006338232099E-3</v>
      </c>
    </row>
    <row r="40" spans="1:59" x14ac:dyDescent="0.25">
      <c r="A40" s="270" t="s">
        <v>169</v>
      </c>
      <c r="B40" s="271">
        <f t="shared" ref="B40:AG40" si="11">B64/365</f>
        <v>0</v>
      </c>
      <c r="C40" s="271">
        <f t="shared" si="11"/>
        <v>0</v>
      </c>
      <c r="D40" s="271">
        <f t="shared" si="11"/>
        <v>0</v>
      </c>
      <c r="E40" s="271">
        <f t="shared" si="11"/>
        <v>4.1333627431937581E-3</v>
      </c>
      <c r="F40" s="271">
        <f t="shared" si="11"/>
        <v>0</v>
      </c>
      <c r="G40" s="271">
        <f t="shared" si="11"/>
        <v>4.240321917960959E-3</v>
      </c>
      <c r="H40" s="271">
        <f t="shared" si="11"/>
        <v>0</v>
      </c>
      <c r="I40" s="271">
        <f t="shared" si="11"/>
        <v>0</v>
      </c>
      <c r="J40" s="271">
        <f t="shared" si="11"/>
        <v>0</v>
      </c>
      <c r="K40" s="271">
        <f t="shared" si="11"/>
        <v>5.8550908498492746E-3</v>
      </c>
      <c r="L40" s="271">
        <f t="shared" si="11"/>
        <v>4.2455819840116968E-3</v>
      </c>
      <c r="M40" s="271">
        <f t="shared" si="11"/>
        <v>1.6993711091942303E-3</v>
      </c>
      <c r="N40" s="271">
        <f t="shared" si="11"/>
        <v>6.8677162134532805E-3</v>
      </c>
      <c r="O40" s="271">
        <f t="shared" si="11"/>
        <v>0</v>
      </c>
      <c r="P40" s="271">
        <f t="shared" si="11"/>
        <v>8.94032633416195E-3</v>
      </c>
      <c r="Q40" s="271">
        <f t="shared" si="11"/>
        <v>7.6282638410357243E-3</v>
      </c>
      <c r="R40" s="271">
        <f t="shared" si="11"/>
        <v>5.9136798648902235E-3</v>
      </c>
      <c r="S40" s="271">
        <f t="shared" si="11"/>
        <v>0</v>
      </c>
      <c r="T40" s="271">
        <f t="shared" si="11"/>
        <v>0</v>
      </c>
      <c r="U40" s="271">
        <f t="shared" si="11"/>
        <v>0</v>
      </c>
      <c r="V40" s="271">
        <f t="shared" si="11"/>
        <v>0</v>
      </c>
      <c r="W40" s="271">
        <f t="shared" si="11"/>
        <v>0</v>
      </c>
      <c r="X40" s="271">
        <f t="shared" si="11"/>
        <v>0</v>
      </c>
      <c r="Y40" s="271">
        <f t="shared" si="11"/>
        <v>6.504446385339451E-3</v>
      </c>
      <c r="Z40" s="271">
        <f t="shared" si="11"/>
        <v>5.0766767479096244E-3</v>
      </c>
      <c r="AA40" s="271">
        <f t="shared" si="11"/>
        <v>0</v>
      </c>
      <c r="AB40" s="271">
        <f t="shared" si="11"/>
        <v>3.7672560724908754E-3</v>
      </c>
      <c r="AC40" s="271">
        <f t="shared" si="11"/>
        <v>0</v>
      </c>
      <c r="AD40" s="271">
        <f t="shared" si="11"/>
        <v>0</v>
      </c>
      <c r="AE40" s="271">
        <f t="shared" si="11"/>
        <v>4.0038196868028104E-3</v>
      </c>
      <c r="AF40" s="271">
        <f t="shared" si="11"/>
        <v>0</v>
      </c>
      <c r="AG40" s="271">
        <f t="shared" si="11"/>
        <v>0</v>
      </c>
      <c r="AH40" s="271">
        <f t="shared" ref="AH40:BF40" si="12">AH64/365</f>
        <v>5.8732668468918729E-3</v>
      </c>
      <c r="AI40" s="271">
        <f t="shared" si="12"/>
        <v>7.0083015038070757E-3</v>
      </c>
      <c r="AJ40" s="271">
        <f t="shared" si="12"/>
        <v>0</v>
      </c>
      <c r="AK40" s="271">
        <f t="shared" si="12"/>
        <v>0</v>
      </c>
      <c r="AL40" s="271">
        <f t="shared" si="12"/>
        <v>4.2368809272918858E-3</v>
      </c>
      <c r="AM40" s="271">
        <f t="shared" si="12"/>
        <v>6.373069289543099E-3</v>
      </c>
      <c r="AN40" s="271">
        <f t="shared" si="12"/>
        <v>3.927114934108065E-3</v>
      </c>
      <c r="AO40" s="271">
        <f t="shared" si="12"/>
        <v>1.782848834577903E-3</v>
      </c>
      <c r="AP40" s="271">
        <f t="shared" si="12"/>
        <v>3.1147185782852953E-3</v>
      </c>
      <c r="AQ40" s="271">
        <f t="shared" si="12"/>
        <v>0</v>
      </c>
      <c r="AR40" s="271">
        <f t="shared" si="12"/>
        <v>0</v>
      </c>
      <c r="AS40" s="271">
        <f t="shared" si="12"/>
        <v>0</v>
      </c>
      <c r="AT40" s="271">
        <f t="shared" si="12"/>
        <v>0</v>
      </c>
      <c r="AU40" s="271">
        <f t="shared" si="12"/>
        <v>0</v>
      </c>
      <c r="AV40" s="271">
        <f t="shared" si="12"/>
        <v>6.3685170559269659E-3</v>
      </c>
      <c r="AW40" s="271">
        <f t="shared" si="12"/>
        <v>0</v>
      </c>
      <c r="AX40" s="271">
        <f t="shared" si="12"/>
        <v>6.5606406840089913E-3</v>
      </c>
      <c r="AY40" s="271">
        <f t="shared" si="12"/>
        <v>6.3181207343301566E-3</v>
      </c>
      <c r="AZ40" s="271">
        <f t="shared" si="12"/>
        <v>4.3302912892406705E-3</v>
      </c>
      <c r="BA40" s="271">
        <f t="shared" si="12"/>
        <v>0</v>
      </c>
      <c r="BB40" s="271">
        <f t="shared" si="12"/>
        <v>8.4140318051229533E-3</v>
      </c>
      <c r="BC40" s="271">
        <f t="shared" si="12"/>
        <v>0</v>
      </c>
      <c r="BD40" s="271">
        <f t="shared" si="12"/>
        <v>3.0161566870228708E-3</v>
      </c>
      <c r="BE40" s="271">
        <f t="shared" si="12"/>
        <v>6.3194373401534521E-3</v>
      </c>
      <c r="BF40" s="272">
        <f t="shared" si="12"/>
        <v>6.3291700241740528E-3</v>
      </c>
      <c r="BG40" s="273">
        <f t="shared" si="4"/>
        <v>2.6113768471013885E-3</v>
      </c>
    </row>
    <row r="41" spans="1:59" x14ac:dyDescent="0.25">
      <c r="A41" s="266" t="s">
        <v>201</v>
      </c>
      <c r="B41" s="267">
        <f t="shared" ref="B41:AG41" si="13">B65/365</f>
        <v>0</v>
      </c>
      <c r="C41" s="267">
        <f t="shared" si="13"/>
        <v>0</v>
      </c>
      <c r="D41" s="267">
        <f t="shared" si="13"/>
        <v>0</v>
      </c>
      <c r="E41" s="267">
        <f t="shared" si="13"/>
        <v>2.401047565739273E-3</v>
      </c>
      <c r="F41" s="267">
        <f t="shared" si="13"/>
        <v>0</v>
      </c>
      <c r="G41" s="267">
        <f t="shared" si="13"/>
        <v>1.8572671460074768E-3</v>
      </c>
      <c r="H41" s="267">
        <f t="shared" si="13"/>
        <v>3.3105022831050228E-3</v>
      </c>
      <c r="I41" s="267">
        <f t="shared" si="13"/>
        <v>0</v>
      </c>
      <c r="J41" s="267">
        <f t="shared" si="13"/>
        <v>0</v>
      </c>
      <c r="K41" s="267">
        <f t="shared" si="13"/>
        <v>5.7345068493150691E-3</v>
      </c>
      <c r="L41" s="267">
        <f t="shared" si="13"/>
        <v>2.1664956604435411E-3</v>
      </c>
      <c r="M41" s="267">
        <f t="shared" si="13"/>
        <v>0</v>
      </c>
      <c r="N41" s="267">
        <f t="shared" si="13"/>
        <v>1.0019339242546334E-2</v>
      </c>
      <c r="O41" s="267">
        <f t="shared" si="13"/>
        <v>0</v>
      </c>
      <c r="P41" s="267">
        <f t="shared" si="13"/>
        <v>6.9513823163138231E-3</v>
      </c>
      <c r="Q41" s="267">
        <f t="shared" si="13"/>
        <v>6.5473002283105031E-3</v>
      </c>
      <c r="R41" s="267">
        <f t="shared" si="13"/>
        <v>0</v>
      </c>
      <c r="S41" s="267">
        <f t="shared" si="13"/>
        <v>6.2385173247381139E-3</v>
      </c>
      <c r="T41" s="267">
        <f t="shared" si="13"/>
        <v>0</v>
      </c>
      <c r="U41" s="267">
        <f t="shared" si="13"/>
        <v>5.7646575342465752E-3</v>
      </c>
      <c r="V41" s="267">
        <f t="shared" si="13"/>
        <v>0</v>
      </c>
      <c r="W41" s="267">
        <f t="shared" si="13"/>
        <v>0</v>
      </c>
      <c r="X41" s="267">
        <f t="shared" si="13"/>
        <v>0</v>
      </c>
      <c r="Y41" s="267">
        <f t="shared" si="13"/>
        <v>6.1301369863013691E-3</v>
      </c>
      <c r="Z41" s="267">
        <f t="shared" si="13"/>
        <v>0</v>
      </c>
      <c r="AA41" s="267">
        <f t="shared" si="13"/>
        <v>0</v>
      </c>
      <c r="AB41" s="267">
        <f t="shared" si="13"/>
        <v>5.7304480775519501E-3</v>
      </c>
      <c r="AC41" s="267">
        <f t="shared" si="13"/>
        <v>0</v>
      </c>
      <c r="AD41" s="267">
        <f t="shared" si="13"/>
        <v>0</v>
      </c>
      <c r="AE41" s="267">
        <f t="shared" si="13"/>
        <v>0</v>
      </c>
      <c r="AF41" s="267">
        <f t="shared" si="13"/>
        <v>0</v>
      </c>
      <c r="AG41" s="267">
        <f t="shared" si="13"/>
        <v>0</v>
      </c>
      <c r="AH41" s="267">
        <f t="shared" ref="AH41:BF41" si="14">AH65/365</f>
        <v>0</v>
      </c>
      <c r="AI41" s="267">
        <f t="shared" si="14"/>
        <v>2.3290015488083983E-3</v>
      </c>
      <c r="AJ41" s="267">
        <f t="shared" si="14"/>
        <v>0</v>
      </c>
      <c r="AK41" s="267">
        <f t="shared" si="14"/>
        <v>0</v>
      </c>
      <c r="AL41" s="267">
        <f t="shared" si="14"/>
        <v>0</v>
      </c>
      <c r="AM41" s="267">
        <f t="shared" si="14"/>
        <v>3.7582568742466254E-3</v>
      </c>
      <c r="AN41" s="267">
        <f t="shared" si="14"/>
        <v>6.5407735697018523E-3</v>
      </c>
      <c r="AO41" s="267">
        <f t="shared" si="14"/>
        <v>0</v>
      </c>
      <c r="AP41" s="267">
        <f t="shared" si="14"/>
        <v>0</v>
      </c>
      <c r="AQ41" s="267">
        <f t="shared" si="14"/>
        <v>0</v>
      </c>
      <c r="AR41" s="267">
        <f t="shared" si="14"/>
        <v>0</v>
      </c>
      <c r="AS41" s="267">
        <f t="shared" si="14"/>
        <v>0</v>
      </c>
      <c r="AT41" s="267">
        <f t="shared" si="14"/>
        <v>0</v>
      </c>
      <c r="AU41" s="267">
        <f t="shared" si="14"/>
        <v>0</v>
      </c>
      <c r="AV41" s="267">
        <f t="shared" si="14"/>
        <v>2.3349524354953277E-3</v>
      </c>
      <c r="AW41" s="267">
        <f t="shared" si="14"/>
        <v>0</v>
      </c>
      <c r="AX41" s="267">
        <f t="shared" si="14"/>
        <v>5.4999999999999997E-3</v>
      </c>
      <c r="AY41" s="267">
        <f t="shared" si="14"/>
        <v>2.4045027224551384E-3</v>
      </c>
      <c r="AZ41" s="267">
        <f t="shared" si="14"/>
        <v>2.4774333757959853E-3</v>
      </c>
      <c r="BA41" s="267">
        <f t="shared" si="14"/>
        <v>0</v>
      </c>
      <c r="BB41" s="267">
        <f t="shared" si="14"/>
        <v>0</v>
      </c>
      <c r="BC41" s="267">
        <f t="shared" si="14"/>
        <v>0</v>
      </c>
      <c r="BD41" s="267">
        <f t="shared" si="14"/>
        <v>0</v>
      </c>
      <c r="BE41" s="267">
        <f t="shared" si="14"/>
        <v>2.1355655160726923E-3</v>
      </c>
      <c r="BF41" s="268">
        <f t="shared" si="14"/>
        <v>1.7925345011967206E-3</v>
      </c>
      <c r="BG41" s="274">
        <f t="shared" si="4"/>
        <v>1.6162214343577507E-3</v>
      </c>
    </row>
    <row r="42" spans="1:59" x14ac:dyDescent="0.25">
      <c r="A42" s="270" t="s">
        <v>189</v>
      </c>
      <c r="B42" s="271">
        <f t="shared" ref="B42:AG42" si="15">B66/365</f>
        <v>0</v>
      </c>
      <c r="C42" s="271">
        <f t="shared" si="15"/>
        <v>0</v>
      </c>
      <c r="D42" s="271">
        <f t="shared" si="15"/>
        <v>7.4073619656992344E-3</v>
      </c>
      <c r="E42" s="271">
        <f t="shared" si="15"/>
        <v>4.5485610708332676E-3</v>
      </c>
      <c r="F42" s="271">
        <f t="shared" si="15"/>
        <v>4.1578082191780826E-3</v>
      </c>
      <c r="G42" s="271">
        <f t="shared" si="15"/>
        <v>4.0159314547256264E-3</v>
      </c>
      <c r="H42" s="271">
        <f t="shared" si="15"/>
        <v>7.4004834810636588E-3</v>
      </c>
      <c r="I42" s="271">
        <f t="shared" si="15"/>
        <v>0</v>
      </c>
      <c r="J42" s="271">
        <f t="shared" si="15"/>
        <v>0</v>
      </c>
      <c r="K42" s="271">
        <f t="shared" si="15"/>
        <v>6.952275896349498E-3</v>
      </c>
      <c r="L42" s="271">
        <f t="shared" si="15"/>
        <v>4.148181824096789E-3</v>
      </c>
      <c r="M42" s="271">
        <f t="shared" si="15"/>
        <v>1.3658456537951206E-3</v>
      </c>
      <c r="N42" s="271">
        <f t="shared" si="15"/>
        <v>7.7760860308209679E-3</v>
      </c>
      <c r="O42" s="271">
        <f t="shared" si="15"/>
        <v>7.1917808219178082E-3</v>
      </c>
      <c r="P42" s="271">
        <f t="shared" si="15"/>
        <v>7.8657366595135201E-3</v>
      </c>
      <c r="Q42" s="271">
        <f t="shared" si="15"/>
        <v>6.8329748334471398E-3</v>
      </c>
      <c r="R42" s="271">
        <f t="shared" si="15"/>
        <v>0</v>
      </c>
      <c r="S42" s="271">
        <f t="shared" si="15"/>
        <v>4.512928682733652E-3</v>
      </c>
      <c r="T42" s="271">
        <f t="shared" si="15"/>
        <v>7.1930052443141008E-3</v>
      </c>
      <c r="U42" s="271">
        <f t="shared" si="15"/>
        <v>6.9023869286618505E-3</v>
      </c>
      <c r="V42" s="271">
        <f t="shared" si="15"/>
        <v>0</v>
      </c>
      <c r="W42" s="271">
        <f t="shared" si="15"/>
        <v>5.735410020641772E-3</v>
      </c>
      <c r="X42" s="271">
        <f t="shared" si="15"/>
        <v>0</v>
      </c>
      <c r="Y42" s="271">
        <f t="shared" si="15"/>
        <v>7.0660080291865901E-3</v>
      </c>
      <c r="Z42" s="271">
        <f t="shared" si="15"/>
        <v>5.7283827504795359E-3</v>
      </c>
      <c r="AA42" s="271">
        <f t="shared" si="15"/>
        <v>6.8737618545837726E-3</v>
      </c>
      <c r="AB42" s="271">
        <f t="shared" si="15"/>
        <v>0</v>
      </c>
      <c r="AC42" s="271">
        <f t="shared" si="15"/>
        <v>0</v>
      </c>
      <c r="AD42" s="271">
        <f t="shared" si="15"/>
        <v>0</v>
      </c>
      <c r="AE42" s="271">
        <f t="shared" si="15"/>
        <v>4.159951651893634E-3</v>
      </c>
      <c r="AF42" s="271">
        <f t="shared" si="15"/>
        <v>7.2530217566478634E-3</v>
      </c>
      <c r="AG42" s="271">
        <f t="shared" si="15"/>
        <v>0</v>
      </c>
      <c r="AH42" s="271">
        <f t="shared" ref="AH42:BF42" si="16">AH66/365</f>
        <v>6.4281411372123492E-3</v>
      </c>
      <c r="AI42" s="271">
        <f t="shared" si="16"/>
        <v>7.3105735191203586E-3</v>
      </c>
      <c r="AJ42" s="271">
        <f t="shared" si="16"/>
        <v>5.3165025193689505E-3</v>
      </c>
      <c r="AK42" s="271">
        <f t="shared" si="16"/>
        <v>6.0142367290654392E-3</v>
      </c>
      <c r="AL42" s="271">
        <f t="shared" si="16"/>
        <v>5.472272529042416E-3</v>
      </c>
      <c r="AM42" s="271">
        <f t="shared" si="16"/>
        <v>8.9212108429404802E-3</v>
      </c>
      <c r="AN42" s="271">
        <f t="shared" si="16"/>
        <v>4.9547038719884688E-3</v>
      </c>
      <c r="AO42" s="271">
        <f t="shared" si="16"/>
        <v>0</v>
      </c>
      <c r="AP42" s="271">
        <f t="shared" si="16"/>
        <v>8.2196617755879216E-3</v>
      </c>
      <c r="AQ42" s="271">
        <f t="shared" si="16"/>
        <v>0</v>
      </c>
      <c r="AR42" s="271">
        <f t="shared" si="16"/>
        <v>0</v>
      </c>
      <c r="AS42" s="271">
        <f t="shared" si="16"/>
        <v>3.7137132655058864E-3</v>
      </c>
      <c r="AT42" s="271">
        <f t="shared" si="16"/>
        <v>0</v>
      </c>
      <c r="AU42" s="271">
        <f t="shared" si="16"/>
        <v>0</v>
      </c>
      <c r="AV42" s="271">
        <f t="shared" si="16"/>
        <v>6.3059945416879624E-3</v>
      </c>
      <c r="AW42" s="271">
        <f t="shared" si="16"/>
        <v>5.4627959281161502E-3</v>
      </c>
      <c r="AX42" s="271">
        <f t="shared" si="16"/>
        <v>6.8595620453133568E-3</v>
      </c>
      <c r="AY42" s="271">
        <f t="shared" si="16"/>
        <v>6.3291740451308373E-3</v>
      </c>
      <c r="AZ42" s="271">
        <f t="shared" si="16"/>
        <v>4.537217110876934E-3</v>
      </c>
      <c r="BA42" s="271">
        <f t="shared" si="16"/>
        <v>0</v>
      </c>
      <c r="BB42" s="271">
        <f t="shared" si="16"/>
        <v>7.6858563809039738E-3</v>
      </c>
      <c r="BC42" s="271">
        <f t="shared" si="16"/>
        <v>0</v>
      </c>
      <c r="BD42" s="271">
        <f t="shared" si="16"/>
        <v>5.7448145970386867E-3</v>
      </c>
      <c r="BE42" s="271">
        <f t="shared" si="16"/>
        <v>6.3966408770631897E-3</v>
      </c>
      <c r="BF42" s="272">
        <f t="shared" si="16"/>
        <v>7.1404378189632006E-3</v>
      </c>
      <c r="BG42" s="273">
        <f t="shared" si="4"/>
        <v>4.1737086730791219E-3</v>
      </c>
    </row>
    <row r="43" spans="1:59" x14ac:dyDescent="0.25">
      <c r="A43" s="266" t="s">
        <v>194</v>
      </c>
      <c r="B43" s="267">
        <f t="shared" ref="B43:AG43" si="17">B67/365</f>
        <v>1.5250438661630282E-2</v>
      </c>
      <c r="C43" s="267">
        <f t="shared" si="17"/>
        <v>1.0902692489371753E-2</v>
      </c>
      <c r="D43" s="267">
        <f t="shared" si="17"/>
        <v>9.620408973595394E-3</v>
      </c>
      <c r="E43" s="267">
        <f t="shared" si="17"/>
        <v>8.6344696228523605E-3</v>
      </c>
      <c r="F43" s="267">
        <f t="shared" si="17"/>
        <v>9.6422473694659522E-3</v>
      </c>
      <c r="G43" s="267">
        <f t="shared" si="17"/>
        <v>9.6234187976081895E-3</v>
      </c>
      <c r="H43" s="267">
        <f t="shared" si="17"/>
        <v>1.5308426163215691E-2</v>
      </c>
      <c r="I43" s="267">
        <f t="shared" si="17"/>
        <v>0</v>
      </c>
      <c r="J43" s="267">
        <f t="shared" si="17"/>
        <v>0</v>
      </c>
      <c r="K43" s="267">
        <f t="shared" si="17"/>
        <v>1.2574733123804199E-2</v>
      </c>
      <c r="L43" s="267">
        <f t="shared" si="17"/>
        <v>9.1764144336506006E-3</v>
      </c>
      <c r="M43" s="267">
        <f t="shared" si="17"/>
        <v>1.9836799611222581E-3</v>
      </c>
      <c r="N43" s="267">
        <f t="shared" si="17"/>
        <v>1.9463336880846602E-2</v>
      </c>
      <c r="O43" s="267">
        <f t="shared" si="17"/>
        <v>1.8757416657464533E-2</v>
      </c>
      <c r="P43" s="267">
        <f t="shared" si="17"/>
        <v>1.3924057628121152E-2</v>
      </c>
      <c r="Q43" s="267">
        <f t="shared" si="17"/>
        <v>1.3548321526879677E-2</v>
      </c>
      <c r="R43" s="267">
        <f t="shared" si="17"/>
        <v>1.2662696049235655E-2</v>
      </c>
      <c r="S43" s="267">
        <f t="shared" si="17"/>
        <v>8.5219976064063105E-3</v>
      </c>
      <c r="T43" s="267">
        <f t="shared" si="17"/>
        <v>1.9896051612499337E-2</v>
      </c>
      <c r="U43" s="267">
        <f t="shared" si="17"/>
        <v>1.1830631093737876E-2</v>
      </c>
      <c r="V43" s="267">
        <f t="shared" si="17"/>
        <v>0</v>
      </c>
      <c r="W43" s="267">
        <f t="shared" si="17"/>
        <v>0</v>
      </c>
      <c r="X43" s="267">
        <f t="shared" si="17"/>
        <v>0</v>
      </c>
      <c r="Y43" s="267">
        <f t="shared" si="17"/>
        <v>1.2740705094326281E-2</v>
      </c>
      <c r="Z43" s="267">
        <f t="shared" si="17"/>
        <v>8.040702006316772E-3</v>
      </c>
      <c r="AA43" s="267">
        <f t="shared" si="17"/>
        <v>1.7133683746320311E-2</v>
      </c>
      <c r="AB43" s="267">
        <f t="shared" si="17"/>
        <v>9.7550463591155878E-3</v>
      </c>
      <c r="AC43" s="267">
        <f t="shared" si="17"/>
        <v>0</v>
      </c>
      <c r="AD43" s="267">
        <f t="shared" si="17"/>
        <v>0</v>
      </c>
      <c r="AE43" s="267">
        <f t="shared" si="17"/>
        <v>0</v>
      </c>
      <c r="AF43" s="267">
        <f t="shared" si="17"/>
        <v>1.3707493956486703E-2</v>
      </c>
      <c r="AG43" s="267">
        <f t="shared" si="17"/>
        <v>6.706903567069036E-3</v>
      </c>
      <c r="AH43" s="267">
        <f t="shared" ref="AH43:BF43" si="18">AH67/365</f>
        <v>1.8187271482952041E-2</v>
      </c>
      <c r="AI43" s="267">
        <f t="shared" si="18"/>
        <v>1.3146449828170929E-2</v>
      </c>
      <c r="AJ43" s="267">
        <f t="shared" si="18"/>
        <v>6.8778382435729021E-3</v>
      </c>
      <c r="AK43" s="267">
        <f t="shared" si="18"/>
        <v>2.0243621619476515E-2</v>
      </c>
      <c r="AL43" s="267">
        <f t="shared" si="18"/>
        <v>1.5561643835616441E-2</v>
      </c>
      <c r="AM43" s="267">
        <f t="shared" si="18"/>
        <v>1.4478706270022221E-2</v>
      </c>
      <c r="AN43" s="267">
        <f t="shared" si="18"/>
        <v>1.4679084885183389E-2</v>
      </c>
      <c r="AO43" s="267">
        <f t="shared" si="18"/>
        <v>0</v>
      </c>
      <c r="AP43" s="267">
        <f t="shared" si="18"/>
        <v>1.5495364918007947E-2</v>
      </c>
      <c r="AQ43" s="267">
        <f t="shared" si="18"/>
        <v>6.9854147102651303E-3</v>
      </c>
      <c r="AR43" s="267">
        <f t="shared" si="18"/>
        <v>0</v>
      </c>
      <c r="AS43" s="267">
        <f t="shared" si="18"/>
        <v>6.7939659034165186E-3</v>
      </c>
      <c r="AT43" s="267">
        <f t="shared" si="18"/>
        <v>8.5707284680688802E-3</v>
      </c>
      <c r="AU43" s="267">
        <f t="shared" si="18"/>
        <v>7.8963496123189807E-3</v>
      </c>
      <c r="AV43" s="267">
        <f t="shared" si="18"/>
        <v>1.2449287038724855E-2</v>
      </c>
      <c r="AW43" s="267">
        <f t="shared" si="18"/>
        <v>0</v>
      </c>
      <c r="AX43" s="267">
        <f t="shared" si="18"/>
        <v>1.2527394678819657E-2</v>
      </c>
      <c r="AY43" s="267">
        <f t="shared" si="18"/>
        <v>1.2798195534465181E-2</v>
      </c>
      <c r="AZ43" s="267">
        <f t="shared" si="18"/>
        <v>9.0002273849317978E-3</v>
      </c>
      <c r="BA43" s="267">
        <f t="shared" si="18"/>
        <v>7.9230389565223477E-3</v>
      </c>
      <c r="BB43" s="267">
        <f t="shared" si="18"/>
        <v>1.4042533366451252E-2</v>
      </c>
      <c r="BC43" s="267">
        <f t="shared" si="18"/>
        <v>0</v>
      </c>
      <c r="BD43" s="267">
        <f t="shared" si="18"/>
        <v>1.5897891685809469E-2</v>
      </c>
      <c r="BE43" s="267">
        <f t="shared" si="18"/>
        <v>1.2664570425835518E-2</v>
      </c>
      <c r="BF43" s="268">
        <f t="shared" si="18"/>
        <v>1.1975825946817082E-2</v>
      </c>
      <c r="BG43" s="274">
        <f t="shared" si="4"/>
        <v>9.6070417223963426E-3</v>
      </c>
    </row>
    <row r="44" spans="1:59" x14ac:dyDescent="0.25">
      <c r="A44" s="270" t="s">
        <v>180</v>
      </c>
      <c r="B44" s="271">
        <f t="shared" ref="B44:AG44" si="19">B68/365</f>
        <v>1.1372073461007012E-2</v>
      </c>
      <c r="C44" s="271">
        <f t="shared" si="19"/>
        <v>1.1482335976928623E-2</v>
      </c>
      <c r="D44" s="271">
        <f t="shared" si="19"/>
        <v>1.0283714341340932E-2</v>
      </c>
      <c r="E44" s="271">
        <f t="shared" si="19"/>
        <v>9.4430865816274249E-3</v>
      </c>
      <c r="F44" s="271">
        <f t="shared" si="19"/>
        <v>9.5283551337487036E-3</v>
      </c>
      <c r="G44" s="271">
        <f>G68/365</f>
        <v>1.1051720760174525E-2</v>
      </c>
      <c r="H44" s="271">
        <f t="shared" si="19"/>
        <v>1.6177319350421635E-2</v>
      </c>
      <c r="I44" s="271">
        <f t="shared" si="19"/>
        <v>1.6064609999442649E-3</v>
      </c>
      <c r="J44" s="271">
        <f t="shared" si="19"/>
        <v>8.8808601937308169E-3</v>
      </c>
      <c r="K44" s="271">
        <f t="shared" si="19"/>
        <v>1.2894002548036673E-2</v>
      </c>
      <c r="L44" s="271">
        <f t="shared" si="19"/>
        <v>1.2570606081220421E-2</v>
      </c>
      <c r="M44" s="271">
        <f t="shared" si="19"/>
        <v>2.5682217342102727E-3</v>
      </c>
      <c r="N44" s="271">
        <f t="shared" si="19"/>
        <v>1.5664318132186165E-2</v>
      </c>
      <c r="O44" s="271">
        <f t="shared" si="19"/>
        <v>1.6495872055177666E-2</v>
      </c>
      <c r="P44" s="271">
        <f t="shared" si="19"/>
        <v>1.2625610170120037E-2</v>
      </c>
      <c r="Q44" s="271">
        <f t="shared" si="19"/>
        <v>1.2874207592523144E-2</v>
      </c>
      <c r="R44" s="271">
        <f t="shared" si="19"/>
        <v>1.3803284632603488E-2</v>
      </c>
      <c r="S44" s="271">
        <f t="shared" si="19"/>
        <v>9.7190953047921955E-3</v>
      </c>
      <c r="T44" s="271">
        <f t="shared" si="19"/>
        <v>1.2317860154601276E-2</v>
      </c>
      <c r="U44" s="271">
        <f t="shared" si="19"/>
        <v>1.1528077500469133E-2</v>
      </c>
      <c r="V44" s="271">
        <f t="shared" si="19"/>
        <v>1.0513116313985167E-2</v>
      </c>
      <c r="W44" s="271">
        <f t="shared" si="19"/>
        <v>1.0188971242332028E-2</v>
      </c>
      <c r="X44" s="271">
        <f t="shared" si="19"/>
        <v>9.4784246841123822E-3</v>
      </c>
      <c r="Y44" s="271">
        <f t="shared" si="19"/>
        <v>1.2528962707698831E-2</v>
      </c>
      <c r="Z44" s="271">
        <f t="shared" si="19"/>
        <v>8.5984271084119934E-3</v>
      </c>
      <c r="AA44" s="271">
        <f t="shared" si="19"/>
        <v>1.3185173478446789E-2</v>
      </c>
      <c r="AB44" s="271">
        <f t="shared" si="19"/>
        <v>7.9175374042705863E-3</v>
      </c>
      <c r="AC44" s="271">
        <f t="shared" si="19"/>
        <v>9.9200976828095946E-3</v>
      </c>
      <c r="AD44" s="271">
        <f t="shared" si="19"/>
        <v>1.0847647885340737E-2</v>
      </c>
      <c r="AE44" s="271">
        <f t="shared" si="19"/>
        <v>1.1159114857744994E-2</v>
      </c>
      <c r="AF44" s="271">
        <f t="shared" si="19"/>
        <v>1.2792912551840278E-2</v>
      </c>
      <c r="AG44" s="271">
        <f t="shared" si="19"/>
        <v>7.5109652274386492E-3</v>
      </c>
      <c r="AH44" s="271">
        <f t="shared" ref="AH44:BF44" si="20">AH68/365</f>
        <v>1.5267467649424039E-2</v>
      </c>
      <c r="AI44" s="271">
        <f t="shared" si="20"/>
        <v>1.4437146551682347E-2</v>
      </c>
      <c r="AJ44" s="271">
        <f t="shared" si="20"/>
        <v>7.7481386150088215E-3</v>
      </c>
      <c r="AK44" s="271">
        <f t="shared" si="20"/>
        <v>1.5392838330736156E-2</v>
      </c>
      <c r="AL44" s="271">
        <f t="shared" si="20"/>
        <v>1.3401174168297456E-2</v>
      </c>
      <c r="AM44" s="271">
        <f t="shared" si="20"/>
        <v>1.4080175806222874E-2</v>
      </c>
      <c r="AN44" s="271">
        <f t="shared" si="20"/>
        <v>1.0447539858953052E-2</v>
      </c>
      <c r="AO44" s="271">
        <f t="shared" si="20"/>
        <v>5.8180698784054182E-3</v>
      </c>
      <c r="AP44" s="271">
        <f t="shared" si="20"/>
        <v>9.5963700061578536E-3</v>
      </c>
      <c r="AQ44" s="271">
        <f t="shared" si="20"/>
        <v>7.9648110963626163E-3</v>
      </c>
      <c r="AR44" s="271">
        <f t="shared" si="20"/>
        <v>5.5314870144656577E-3</v>
      </c>
      <c r="AS44" s="271">
        <f t="shared" si="20"/>
        <v>8.2381275553746209E-3</v>
      </c>
      <c r="AT44" s="271">
        <f t="shared" si="20"/>
        <v>1.0985608393101262E-2</v>
      </c>
      <c r="AU44" s="271">
        <f t="shared" si="20"/>
        <v>8.8452019221313197E-3</v>
      </c>
      <c r="AV44" s="271">
        <f t="shared" si="20"/>
        <v>1.3879960958337099E-2</v>
      </c>
      <c r="AW44" s="271">
        <f t="shared" si="20"/>
        <v>9.8946293840990896E-3</v>
      </c>
      <c r="AX44" s="271">
        <f t="shared" si="20"/>
        <v>1.2393892499248679E-2</v>
      </c>
      <c r="AY44" s="271">
        <f t="shared" si="20"/>
        <v>1.3402563628239069E-2</v>
      </c>
      <c r="AZ44" s="271">
        <f t="shared" si="20"/>
        <v>9.7468648464910587E-3</v>
      </c>
      <c r="BA44" s="271">
        <f t="shared" si="20"/>
        <v>8.0485376113446239E-3</v>
      </c>
      <c r="BB44" s="271">
        <f t="shared" si="20"/>
        <v>1.3584910348647439E-2</v>
      </c>
      <c r="BC44" s="271">
        <f t="shared" si="20"/>
        <v>1.0467907781573258E-2</v>
      </c>
      <c r="BD44" s="271">
        <f t="shared" si="20"/>
        <v>9.6376942518743638E-3</v>
      </c>
      <c r="BE44" s="271">
        <f t="shared" si="20"/>
        <v>1.3777397020860817E-2</v>
      </c>
      <c r="BF44" s="272">
        <f t="shared" si="20"/>
        <v>1.2944630031380534E-2</v>
      </c>
      <c r="BG44" s="273">
        <f t="shared" si="4"/>
        <v>1.0930904895749403E-2</v>
      </c>
    </row>
    <row r="45" spans="1:59" x14ac:dyDescent="0.25">
      <c r="A45" s="266" t="s">
        <v>191</v>
      </c>
      <c r="B45" s="267">
        <f t="shared" ref="B45:AG45" si="21">B69/365</f>
        <v>0</v>
      </c>
      <c r="C45" s="267">
        <f t="shared" si="21"/>
        <v>0</v>
      </c>
      <c r="D45" s="267">
        <f t="shared" si="21"/>
        <v>0</v>
      </c>
      <c r="E45" s="267">
        <f t="shared" si="21"/>
        <v>0</v>
      </c>
      <c r="F45" s="267">
        <f t="shared" si="21"/>
        <v>0</v>
      </c>
      <c r="G45" s="267">
        <f t="shared" si="21"/>
        <v>4.9715241625975471E-3</v>
      </c>
      <c r="H45" s="267">
        <f t="shared" si="21"/>
        <v>8.7216258241448342E-3</v>
      </c>
      <c r="I45" s="267">
        <f t="shared" si="21"/>
        <v>0</v>
      </c>
      <c r="J45" s="267">
        <f t="shared" si="21"/>
        <v>0</v>
      </c>
      <c r="K45" s="267">
        <f t="shared" si="21"/>
        <v>5.887597262847032E-3</v>
      </c>
      <c r="L45" s="267">
        <f t="shared" si="21"/>
        <v>5.2325315150610107E-3</v>
      </c>
      <c r="M45" s="267">
        <f t="shared" si="21"/>
        <v>0</v>
      </c>
      <c r="N45" s="267">
        <f t="shared" si="21"/>
        <v>0</v>
      </c>
      <c r="O45" s="267">
        <f t="shared" si="21"/>
        <v>0</v>
      </c>
      <c r="P45" s="267">
        <f t="shared" si="21"/>
        <v>8.1115413223270486E-3</v>
      </c>
      <c r="Q45" s="267">
        <f t="shared" si="21"/>
        <v>7.1029668985423877E-3</v>
      </c>
      <c r="R45" s="267">
        <f t="shared" si="21"/>
        <v>0</v>
      </c>
      <c r="S45" s="267">
        <f t="shared" si="21"/>
        <v>0</v>
      </c>
      <c r="T45" s="267">
        <f t="shared" si="21"/>
        <v>0</v>
      </c>
      <c r="U45" s="267">
        <f t="shared" si="21"/>
        <v>6.9063968755749584E-3</v>
      </c>
      <c r="V45" s="267">
        <f t="shared" si="21"/>
        <v>0</v>
      </c>
      <c r="W45" s="267">
        <f t="shared" si="21"/>
        <v>0</v>
      </c>
      <c r="X45" s="267">
        <f t="shared" si="21"/>
        <v>0</v>
      </c>
      <c r="Y45" s="267">
        <f t="shared" si="21"/>
        <v>6.706757657218382E-3</v>
      </c>
      <c r="Z45" s="267">
        <f t="shared" si="21"/>
        <v>0</v>
      </c>
      <c r="AA45" s="267">
        <f t="shared" si="21"/>
        <v>0</v>
      </c>
      <c r="AB45" s="267">
        <f t="shared" si="21"/>
        <v>0</v>
      </c>
      <c r="AC45" s="267">
        <f t="shared" si="21"/>
        <v>0</v>
      </c>
      <c r="AD45" s="267">
        <f t="shared" si="21"/>
        <v>0</v>
      </c>
      <c r="AE45" s="267">
        <f t="shared" si="21"/>
        <v>0</v>
      </c>
      <c r="AF45" s="267">
        <f t="shared" si="21"/>
        <v>0</v>
      </c>
      <c r="AG45" s="267">
        <f t="shared" si="21"/>
        <v>0</v>
      </c>
      <c r="AH45" s="267">
        <f t="shared" ref="AH45:BF45" si="22">AH69/365</f>
        <v>0</v>
      </c>
      <c r="AI45" s="267">
        <f t="shared" si="22"/>
        <v>8.0610165205090307E-3</v>
      </c>
      <c r="AJ45" s="267">
        <f t="shared" si="22"/>
        <v>4.3680939052628091E-3</v>
      </c>
      <c r="AK45" s="267">
        <f t="shared" si="22"/>
        <v>0</v>
      </c>
      <c r="AL45" s="267">
        <f t="shared" si="22"/>
        <v>6.3856691253951518E-3</v>
      </c>
      <c r="AM45" s="267">
        <f t="shared" si="22"/>
        <v>7.7931343404808E-3</v>
      </c>
      <c r="AN45" s="267">
        <f t="shared" si="22"/>
        <v>0</v>
      </c>
      <c r="AO45" s="267">
        <f t="shared" si="22"/>
        <v>0</v>
      </c>
      <c r="AP45" s="267">
        <f t="shared" si="22"/>
        <v>0</v>
      </c>
      <c r="AQ45" s="267">
        <f t="shared" si="22"/>
        <v>5.4338575784261874E-3</v>
      </c>
      <c r="AR45" s="267">
        <f t="shared" si="22"/>
        <v>0</v>
      </c>
      <c r="AS45" s="267">
        <f t="shared" si="22"/>
        <v>0</v>
      </c>
      <c r="AT45" s="267">
        <f t="shared" si="22"/>
        <v>0</v>
      </c>
      <c r="AU45" s="267">
        <f t="shared" si="22"/>
        <v>0</v>
      </c>
      <c r="AV45" s="267">
        <f t="shared" si="22"/>
        <v>7.1821460200951169E-3</v>
      </c>
      <c r="AW45" s="267">
        <f t="shared" si="22"/>
        <v>0</v>
      </c>
      <c r="AX45" s="267">
        <f t="shared" si="22"/>
        <v>6.3926002847479032E-3</v>
      </c>
      <c r="AY45" s="267">
        <f t="shared" si="22"/>
        <v>7.5363236582934052E-3</v>
      </c>
      <c r="AZ45" s="267">
        <f t="shared" si="22"/>
        <v>0</v>
      </c>
      <c r="BA45" s="267">
        <f t="shared" si="22"/>
        <v>0</v>
      </c>
      <c r="BB45" s="267">
        <f t="shared" si="22"/>
        <v>7.1404226584580862E-3</v>
      </c>
      <c r="BC45" s="267">
        <f t="shared" si="22"/>
        <v>0</v>
      </c>
      <c r="BD45" s="267">
        <f t="shared" si="22"/>
        <v>5.1338580800467139E-3</v>
      </c>
      <c r="BE45" s="267">
        <f t="shared" si="22"/>
        <v>7.302556542649323E-3</v>
      </c>
      <c r="BF45" s="268">
        <f t="shared" si="22"/>
        <v>0</v>
      </c>
      <c r="BG45" s="274">
        <f t="shared" si="4"/>
        <v>2.2170284251346968E-3</v>
      </c>
    </row>
    <row r="46" spans="1:59" x14ac:dyDescent="0.25">
      <c r="A46" s="270" t="s">
        <v>184</v>
      </c>
      <c r="B46" s="271">
        <f t="shared" ref="B46:AG46" si="23">B70/365</f>
        <v>0</v>
      </c>
      <c r="C46" s="271">
        <f t="shared" si="23"/>
        <v>0</v>
      </c>
      <c r="D46" s="271">
        <f t="shared" si="23"/>
        <v>0</v>
      </c>
      <c r="E46" s="271">
        <f t="shared" si="23"/>
        <v>0</v>
      </c>
      <c r="F46" s="271">
        <f t="shared" si="23"/>
        <v>0</v>
      </c>
      <c r="G46" s="271">
        <f t="shared" si="23"/>
        <v>0</v>
      </c>
      <c r="H46" s="271">
        <f t="shared" si="23"/>
        <v>0</v>
      </c>
      <c r="I46" s="271">
        <f t="shared" si="23"/>
        <v>0</v>
      </c>
      <c r="J46" s="271">
        <f t="shared" si="23"/>
        <v>0</v>
      </c>
      <c r="K46" s="271">
        <f t="shared" si="23"/>
        <v>4.6619979575202542E-3</v>
      </c>
      <c r="L46" s="271">
        <f t="shared" si="23"/>
        <v>0</v>
      </c>
      <c r="M46" s="271">
        <f t="shared" si="23"/>
        <v>0</v>
      </c>
      <c r="N46" s="271">
        <f t="shared" si="23"/>
        <v>8.2856469536107692E-3</v>
      </c>
      <c r="O46" s="271">
        <f t="shared" si="23"/>
        <v>0</v>
      </c>
      <c r="P46" s="271">
        <f t="shared" si="23"/>
        <v>6.2318809427219669E-3</v>
      </c>
      <c r="Q46" s="271">
        <f t="shared" si="23"/>
        <v>5.2809907227479268E-3</v>
      </c>
      <c r="R46" s="271">
        <f t="shared" si="23"/>
        <v>0</v>
      </c>
      <c r="S46" s="271">
        <f t="shared" si="23"/>
        <v>0</v>
      </c>
      <c r="T46" s="271">
        <f t="shared" si="23"/>
        <v>0</v>
      </c>
      <c r="U46" s="271">
        <f t="shared" si="23"/>
        <v>4.3981985363107517E-3</v>
      </c>
      <c r="V46" s="271">
        <f t="shared" si="23"/>
        <v>0</v>
      </c>
      <c r="W46" s="271">
        <f t="shared" si="23"/>
        <v>0</v>
      </c>
      <c r="X46" s="271">
        <f t="shared" si="23"/>
        <v>0</v>
      </c>
      <c r="Y46" s="271">
        <f t="shared" si="23"/>
        <v>4.5700416096300048E-3</v>
      </c>
      <c r="Z46" s="271">
        <f t="shared" si="23"/>
        <v>0</v>
      </c>
      <c r="AA46" s="271">
        <f t="shared" si="23"/>
        <v>0</v>
      </c>
      <c r="AB46" s="271">
        <f t="shared" si="23"/>
        <v>3.6192271079452608E-3</v>
      </c>
      <c r="AC46" s="271">
        <f t="shared" si="23"/>
        <v>0</v>
      </c>
      <c r="AD46" s="271">
        <f t="shared" si="23"/>
        <v>0</v>
      </c>
      <c r="AE46" s="271">
        <f t="shared" si="23"/>
        <v>4.8759295499021527E-3</v>
      </c>
      <c r="AF46" s="271">
        <f t="shared" si="23"/>
        <v>0</v>
      </c>
      <c r="AG46" s="271">
        <f t="shared" si="23"/>
        <v>0</v>
      </c>
      <c r="AH46" s="271">
        <f t="shared" ref="AH46:BF46" si="24">AH70/365</f>
        <v>7.0634562070006719E-3</v>
      </c>
      <c r="AI46" s="271">
        <f t="shared" si="24"/>
        <v>7.4991087412380085E-3</v>
      </c>
      <c r="AJ46" s="271">
        <f t="shared" si="24"/>
        <v>3.7065459753098354E-3</v>
      </c>
      <c r="AK46" s="271">
        <f t="shared" si="24"/>
        <v>5.4305283757338551E-3</v>
      </c>
      <c r="AL46" s="271">
        <f t="shared" si="24"/>
        <v>7.0560032232070908E-3</v>
      </c>
      <c r="AM46" s="271">
        <f t="shared" si="24"/>
        <v>5.95860414254049E-3</v>
      </c>
      <c r="AN46" s="271">
        <f t="shared" si="24"/>
        <v>5.3341591799263149E-3</v>
      </c>
      <c r="AO46" s="271">
        <f t="shared" si="24"/>
        <v>0</v>
      </c>
      <c r="AP46" s="271">
        <f t="shared" si="24"/>
        <v>5.4747183478538325E-3</v>
      </c>
      <c r="AQ46" s="271">
        <f t="shared" si="24"/>
        <v>3.5445002768957276E-3</v>
      </c>
      <c r="AR46" s="271">
        <f t="shared" si="24"/>
        <v>0</v>
      </c>
      <c r="AS46" s="271">
        <f t="shared" si="24"/>
        <v>0</v>
      </c>
      <c r="AT46" s="271">
        <f t="shared" si="24"/>
        <v>0</v>
      </c>
      <c r="AU46" s="271">
        <f t="shared" si="24"/>
        <v>0</v>
      </c>
      <c r="AV46" s="271">
        <f t="shared" si="24"/>
        <v>0</v>
      </c>
      <c r="AW46" s="271">
        <f t="shared" si="24"/>
        <v>0</v>
      </c>
      <c r="AX46" s="271">
        <f t="shared" si="24"/>
        <v>4.4524307382331051E-3</v>
      </c>
      <c r="AY46" s="271">
        <f t="shared" si="24"/>
        <v>0</v>
      </c>
      <c r="AZ46" s="271">
        <f t="shared" si="24"/>
        <v>0</v>
      </c>
      <c r="BA46" s="271">
        <f t="shared" si="24"/>
        <v>0</v>
      </c>
      <c r="BB46" s="271">
        <f t="shared" si="24"/>
        <v>5.1174168297455983E-3</v>
      </c>
      <c r="BC46" s="271">
        <f t="shared" si="24"/>
        <v>0</v>
      </c>
      <c r="BD46" s="271">
        <f t="shared" si="24"/>
        <v>4.4445301948678375E-3</v>
      </c>
      <c r="BE46" s="271">
        <f t="shared" si="24"/>
        <v>6.7990514361037507E-3</v>
      </c>
      <c r="BF46" s="272">
        <f t="shared" si="24"/>
        <v>0</v>
      </c>
      <c r="BG46" s="273">
        <f t="shared" si="4"/>
        <v>1.9965783692814949E-3</v>
      </c>
    </row>
    <row r="47" spans="1:59" ht="13.5" customHeight="1" x14ac:dyDescent="0.25">
      <c r="A47" s="266" t="s">
        <v>190</v>
      </c>
      <c r="B47" s="267">
        <f t="shared" ref="B47:AG47" si="25">B71/365</f>
        <v>0</v>
      </c>
      <c r="C47" s="267">
        <f t="shared" si="25"/>
        <v>0</v>
      </c>
      <c r="D47" s="267">
        <f t="shared" si="25"/>
        <v>0</v>
      </c>
      <c r="E47" s="267">
        <f t="shared" si="25"/>
        <v>2.6951626956746521E-3</v>
      </c>
      <c r="F47" s="267">
        <f t="shared" si="25"/>
        <v>0</v>
      </c>
      <c r="G47" s="267">
        <f t="shared" si="25"/>
        <v>2.6140085160723369E-3</v>
      </c>
      <c r="H47" s="267">
        <f t="shared" si="25"/>
        <v>0</v>
      </c>
      <c r="I47" s="267">
        <f t="shared" si="25"/>
        <v>0</v>
      </c>
      <c r="J47" s="267">
        <f t="shared" si="25"/>
        <v>0</v>
      </c>
      <c r="K47" s="267">
        <f t="shared" si="25"/>
        <v>4.6172676380479265E-3</v>
      </c>
      <c r="L47" s="267">
        <f t="shared" si="25"/>
        <v>2.6770230255627092E-3</v>
      </c>
      <c r="M47" s="267">
        <f t="shared" si="25"/>
        <v>1.7063435717110616E-4</v>
      </c>
      <c r="N47" s="267">
        <f t="shared" si="25"/>
        <v>8.6512608144502477E-3</v>
      </c>
      <c r="O47" s="267">
        <f t="shared" si="25"/>
        <v>0</v>
      </c>
      <c r="P47" s="267">
        <f t="shared" si="25"/>
        <v>6.0579522165274558E-3</v>
      </c>
      <c r="Q47" s="267">
        <f t="shared" si="25"/>
        <v>5.0234957782324804E-3</v>
      </c>
      <c r="R47" s="267">
        <f t="shared" si="25"/>
        <v>2.2953649840495405E-3</v>
      </c>
      <c r="S47" s="267">
        <f t="shared" si="25"/>
        <v>0</v>
      </c>
      <c r="T47" s="267">
        <f t="shared" si="25"/>
        <v>5.6403406089750646E-3</v>
      </c>
      <c r="U47" s="267">
        <f t="shared" si="25"/>
        <v>4.3982250797122901E-3</v>
      </c>
      <c r="V47" s="267">
        <f t="shared" si="25"/>
        <v>0</v>
      </c>
      <c r="W47" s="267">
        <f t="shared" si="25"/>
        <v>0</v>
      </c>
      <c r="X47" s="267">
        <f t="shared" si="25"/>
        <v>0</v>
      </c>
      <c r="Y47" s="267">
        <f t="shared" si="25"/>
        <v>4.7301589237475315E-3</v>
      </c>
      <c r="Z47" s="267">
        <f t="shared" si="25"/>
        <v>0</v>
      </c>
      <c r="AA47" s="267">
        <f t="shared" si="25"/>
        <v>0</v>
      </c>
      <c r="AB47" s="267">
        <f t="shared" si="25"/>
        <v>8.7771301388082674E-4</v>
      </c>
      <c r="AC47" s="267">
        <f t="shared" si="25"/>
        <v>0</v>
      </c>
      <c r="AD47" s="267">
        <f t="shared" si="25"/>
        <v>0</v>
      </c>
      <c r="AE47" s="267">
        <f t="shared" si="25"/>
        <v>3.7441351279801924E-3</v>
      </c>
      <c r="AF47" s="267">
        <f t="shared" si="25"/>
        <v>0</v>
      </c>
      <c r="AG47" s="267">
        <f t="shared" si="25"/>
        <v>0</v>
      </c>
      <c r="AH47" s="267">
        <f t="shared" ref="AH47:BF47" si="26">AH71/365</f>
        <v>6.9797561871421413E-3</v>
      </c>
      <c r="AI47" s="267">
        <f t="shared" si="26"/>
        <v>5.1811485610911189E-3</v>
      </c>
      <c r="AJ47" s="267">
        <f t="shared" si="26"/>
        <v>8.0042149631190732E-4</v>
      </c>
      <c r="AK47" s="267">
        <f t="shared" si="26"/>
        <v>4.0390582800693183E-3</v>
      </c>
      <c r="AL47" s="267">
        <f t="shared" si="26"/>
        <v>3.8074363992172218E-3</v>
      </c>
      <c r="AM47" s="267">
        <f t="shared" si="26"/>
        <v>5.1313441817656567E-3</v>
      </c>
      <c r="AN47" s="267">
        <f t="shared" si="26"/>
        <v>2.4802345354496347E-3</v>
      </c>
      <c r="AO47" s="267">
        <f t="shared" si="26"/>
        <v>7.6487748849144593E-4</v>
      </c>
      <c r="AP47" s="267">
        <f t="shared" si="26"/>
        <v>2.9547362144842254E-3</v>
      </c>
      <c r="AQ47" s="267">
        <f t="shared" si="26"/>
        <v>3.0458429698155725E-3</v>
      </c>
      <c r="AR47" s="267">
        <f t="shared" si="26"/>
        <v>4.475966773012584E-4</v>
      </c>
      <c r="AS47" s="267">
        <f t="shared" si="26"/>
        <v>2.856130147055862E-3</v>
      </c>
      <c r="AT47" s="267">
        <f t="shared" si="26"/>
        <v>0</v>
      </c>
      <c r="AU47" s="267">
        <f t="shared" si="26"/>
        <v>3.503096265715894E-3</v>
      </c>
      <c r="AV47" s="267">
        <f t="shared" si="26"/>
        <v>4.4639117847604199E-3</v>
      </c>
      <c r="AW47" s="267">
        <f t="shared" si="26"/>
        <v>1.194115460883941E-3</v>
      </c>
      <c r="AX47" s="267">
        <f t="shared" si="26"/>
        <v>4.4286690877904976E-3</v>
      </c>
      <c r="AY47" s="267">
        <f t="shared" si="26"/>
        <v>4.523902773039293E-3</v>
      </c>
      <c r="AZ47" s="267">
        <f t="shared" si="26"/>
        <v>2.9051600785049035E-3</v>
      </c>
      <c r="BA47" s="267">
        <f t="shared" si="26"/>
        <v>0</v>
      </c>
      <c r="BB47" s="267">
        <f t="shared" si="26"/>
        <v>5.4384641367454445E-3</v>
      </c>
      <c r="BC47" s="267">
        <f t="shared" si="26"/>
        <v>0</v>
      </c>
      <c r="BD47" s="267">
        <f t="shared" si="26"/>
        <v>3.2003176493944816E-3</v>
      </c>
      <c r="BE47" s="267">
        <f t="shared" si="26"/>
        <v>4.5100074902036744E-3</v>
      </c>
      <c r="BF47" s="268">
        <f t="shared" si="26"/>
        <v>4.5896544673890817E-3</v>
      </c>
      <c r="BG47" s="274">
        <f t="shared" si="4"/>
        <v>2.3059407914510057E-3</v>
      </c>
    </row>
    <row r="48" spans="1:59" x14ac:dyDescent="0.25">
      <c r="A48" s="270" t="s">
        <v>171</v>
      </c>
      <c r="B48" s="271">
        <f t="shared" ref="B48:AG48" si="27">B72/365</f>
        <v>0</v>
      </c>
      <c r="C48" s="271">
        <f t="shared" si="27"/>
        <v>0</v>
      </c>
      <c r="D48" s="271">
        <f t="shared" si="27"/>
        <v>0</v>
      </c>
      <c r="E48" s="271">
        <f t="shared" si="27"/>
        <v>5.9295417493384671E-3</v>
      </c>
      <c r="F48" s="271">
        <f t="shared" si="27"/>
        <v>0</v>
      </c>
      <c r="G48" s="271">
        <f t="shared" si="27"/>
        <v>7.162216961410387E-3</v>
      </c>
      <c r="H48" s="271">
        <f t="shared" si="27"/>
        <v>0</v>
      </c>
      <c r="I48" s="271">
        <f t="shared" si="27"/>
        <v>0</v>
      </c>
      <c r="J48" s="271">
        <f t="shared" si="27"/>
        <v>0</v>
      </c>
      <c r="K48" s="271">
        <f t="shared" si="27"/>
        <v>6.941306123524409E-3</v>
      </c>
      <c r="L48" s="271">
        <f t="shared" si="27"/>
        <v>5.1660301085264268E-3</v>
      </c>
      <c r="M48" s="271">
        <f t="shared" si="27"/>
        <v>0</v>
      </c>
      <c r="N48" s="271">
        <f t="shared" si="27"/>
        <v>9.8459014383849557E-3</v>
      </c>
      <c r="O48" s="271">
        <f t="shared" si="27"/>
        <v>0</v>
      </c>
      <c r="P48" s="271">
        <f t="shared" si="27"/>
        <v>9.3383797171995072E-3</v>
      </c>
      <c r="Q48" s="271">
        <f t="shared" si="27"/>
        <v>9.2922160230799588E-3</v>
      </c>
      <c r="R48" s="271">
        <f t="shared" si="27"/>
        <v>5.244705358654525E-3</v>
      </c>
      <c r="S48" s="271">
        <f t="shared" si="27"/>
        <v>7.007254425326662E-3</v>
      </c>
      <c r="T48" s="271">
        <f t="shared" si="27"/>
        <v>9.4299511653466572E-3</v>
      </c>
      <c r="U48" s="271">
        <f t="shared" si="27"/>
        <v>7.9948288031344069E-3</v>
      </c>
      <c r="V48" s="271">
        <f t="shared" si="27"/>
        <v>0</v>
      </c>
      <c r="W48" s="271">
        <f t="shared" si="27"/>
        <v>0</v>
      </c>
      <c r="X48" s="271">
        <f t="shared" si="27"/>
        <v>0</v>
      </c>
      <c r="Y48" s="271">
        <f t="shared" si="27"/>
        <v>8.6911538363110587E-3</v>
      </c>
      <c r="Z48" s="271">
        <f t="shared" si="27"/>
        <v>8.0843932463787304E-3</v>
      </c>
      <c r="AA48" s="271">
        <f t="shared" si="27"/>
        <v>1.0544151738672285E-2</v>
      </c>
      <c r="AB48" s="271">
        <f t="shared" si="27"/>
        <v>6.5940374615599661E-3</v>
      </c>
      <c r="AC48" s="271">
        <f t="shared" si="27"/>
        <v>0</v>
      </c>
      <c r="AD48" s="271">
        <f t="shared" si="27"/>
        <v>0</v>
      </c>
      <c r="AE48" s="271">
        <f t="shared" si="27"/>
        <v>0</v>
      </c>
      <c r="AF48" s="271">
        <f t="shared" si="27"/>
        <v>0</v>
      </c>
      <c r="AG48" s="271">
        <f t="shared" si="27"/>
        <v>0</v>
      </c>
      <c r="AH48" s="271">
        <f t="shared" ref="AH48:BF48" si="28">AH72/365</f>
        <v>8.2899672998484452E-3</v>
      </c>
      <c r="AI48" s="271">
        <f t="shared" si="28"/>
        <v>1.077805600563002E-2</v>
      </c>
      <c r="AJ48" s="271">
        <f t="shared" si="28"/>
        <v>2.250680299403503E-3</v>
      </c>
      <c r="AK48" s="271">
        <f t="shared" si="28"/>
        <v>4.6508806262230921E-3</v>
      </c>
      <c r="AL48" s="271">
        <f t="shared" si="28"/>
        <v>4.3654373024236033E-3</v>
      </c>
      <c r="AM48" s="271">
        <f t="shared" si="28"/>
        <v>5.0067208085605372E-3</v>
      </c>
      <c r="AN48" s="271">
        <f t="shared" si="28"/>
        <v>4.9506849315068494E-3</v>
      </c>
      <c r="AO48" s="271">
        <f t="shared" si="28"/>
        <v>4.2282065936752738E-3</v>
      </c>
      <c r="AP48" s="271">
        <f t="shared" si="28"/>
        <v>9.5523771152296495E-3</v>
      </c>
      <c r="AQ48" s="271">
        <f t="shared" si="28"/>
        <v>3.1802035084261353E-3</v>
      </c>
      <c r="AR48" s="271">
        <f t="shared" si="28"/>
        <v>0</v>
      </c>
      <c r="AS48" s="271">
        <f t="shared" si="28"/>
        <v>0</v>
      </c>
      <c r="AT48" s="271">
        <f t="shared" si="28"/>
        <v>0</v>
      </c>
      <c r="AU48" s="271">
        <f t="shared" si="28"/>
        <v>7.9598113947897328E-3</v>
      </c>
      <c r="AV48" s="271">
        <f t="shared" si="28"/>
        <v>9.1582541852928221E-3</v>
      </c>
      <c r="AW48" s="271">
        <f t="shared" si="28"/>
        <v>0</v>
      </c>
      <c r="AX48" s="271">
        <f t="shared" si="28"/>
        <v>0</v>
      </c>
      <c r="AY48" s="271">
        <f t="shared" si="28"/>
        <v>9.4430586792067037E-3</v>
      </c>
      <c r="AZ48" s="271">
        <f t="shared" si="28"/>
        <v>0</v>
      </c>
      <c r="BA48" s="271">
        <f t="shared" si="28"/>
        <v>0</v>
      </c>
      <c r="BB48" s="271">
        <f t="shared" si="28"/>
        <v>9.6029832191746461E-3</v>
      </c>
      <c r="BC48" s="271">
        <f t="shared" si="28"/>
        <v>0</v>
      </c>
      <c r="BD48" s="271">
        <f t="shared" si="28"/>
        <v>3.8129158512720156E-3</v>
      </c>
      <c r="BE48" s="271">
        <f t="shared" si="28"/>
        <v>9.594656548933626E-3</v>
      </c>
      <c r="BF48" s="272">
        <f t="shared" si="28"/>
        <v>0</v>
      </c>
      <c r="BG48" s="273">
        <f t="shared" si="4"/>
        <v>3.9314203952007911E-3</v>
      </c>
    </row>
    <row r="49" spans="1:59" x14ac:dyDescent="0.25">
      <c r="A49" s="266" t="s">
        <v>179</v>
      </c>
      <c r="B49" s="267">
        <f t="shared" ref="B49:AG49" si="29">B73/365</f>
        <v>0</v>
      </c>
      <c r="C49" s="267">
        <f t="shared" si="29"/>
        <v>0</v>
      </c>
      <c r="D49" s="267">
        <f t="shared" si="29"/>
        <v>0</v>
      </c>
      <c r="E49" s="267">
        <f t="shared" si="29"/>
        <v>0</v>
      </c>
      <c r="F49" s="267">
        <f t="shared" si="29"/>
        <v>0</v>
      </c>
      <c r="G49" s="267">
        <f t="shared" si="29"/>
        <v>0</v>
      </c>
      <c r="H49" s="267">
        <f t="shared" si="29"/>
        <v>0</v>
      </c>
      <c r="I49" s="267">
        <f t="shared" si="29"/>
        <v>0</v>
      </c>
      <c r="J49" s="267">
        <f t="shared" si="29"/>
        <v>0</v>
      </c>
      <c r="K49" s="267">
        <f t="shared" si="29"/>
        <v>0</v>
      </c>
      <c r="L49" s="267">
        <f t="shared" si="29"/>
        <v>0</v>
      </c>
      <c r="M49" s="267">
        <f t="shared" si="29"/>
        <v>1.6000758596105523E-3</v>
      </c>
      <c r="N49" s="267">
        <f t="shared" si="29"/>
        <v>1.1807730605113554E-2</v>
      </c>
      <c r="O49" s="267">
        <f t="shared" si="29"/>
        <v>0</v>
      </c>
      <c r="P49" s="267">
        <f t="shared" si="29"/>
        <v>4.8458607326773533E-3</v>
      </c>
      <c r="Q49" s="267">
        <f t="shared" si="29"/>
        <v>0</v>
      </c>
      <c r="R49" s="267">
        <f t="shared" si="29"/>
        <v>0</v>
      </c>
      <c r="S49" s="267">
        <f t="shared" si="29"/>
        <v>0</v>
      </c>
      <c r="T49" s="267">
        <f t="shared" si="29"/>
        <v>1.2324790101634996E-2</v>
      </c>
      <c r="U49" s="267">
        <f t="shared" si="29"/>
        <v>3.4207592930908413E-3</v>
      </c>
      <c r="V49" s="267">
        <f t="shared" si="29"/>
        <v>0</v>
      </c>
      <c r="W49" s="267">
        <f t="shared" si="29"/>
        <v>0</v>
      </c>
      <c r="X49" s="267">
        <f t="shared" si="29"/>
        <v>0</v>
      </c>
      <c r="Y49" s="267">
        <f t="shared" si="29"/>
        <v>4.2240781308970849E-3</v>
      </c>
      <c r="Z49" s="267">
        <f t="shared" si="29"/>
        <v>6.9049183642521349E-3</v>
      </c>
      <c r="AA49" s="267">
        <f t="shared" si="29"/>
        <v>0</v>
      </c>
      <c r="AB49" s="267">
        <f t="shared" si="29"/>
        <v>0</v>
      </c>
      <c r="AC49" s="267">
        <f t="shared" si="29"/>
        <v>0</v>
      </c>
      <c r="AD49" s="267">
        <f t="shared" si="29"/>
        <v>0</v>
      </c>
      <c r="AE49" s="267">
        <f t="shared" si="29"/>
        <v>0</v>
      </c>
      <c r="AF49" s="267">
        <f t="shared" si="29"/>
        <v>0</v>
      </c>
      <c r="AG49" s="267">
        <f t="shared" si="29"/>
        <v>0</v>
      </c>
      <c r="AH49" s="267">
        <f t="shared" ref="AH49:BF49" si="30">AH73/365</f>
        <v>7.8061429127686457E-3</v>
      </c>
      <c r="AI49" s="267">
        <f t="shared" si="30"/>
        <v>0</v>
      </c>
      <c r="AJ49" s="267">
        <f t="shared" si="30"/>
        <v>0</v>
      </c>
      <c r="AK49" s="267">
        <f t="shared" si="30"/>
        <v>0</v>
      </c>
      <c r="AL49" s="267">
        <f t="shared" si="30"/>
        <v>6.8554091524435107E-3</v>
      </c>
      <c r="AM49" s="267">
        <f t="shared" si="30"/>
        <v>8.8589619911248318E-3</v>
      </c>
      <c r="AN49" s="267">
        <f t="shared" si="30"/>
        <v>1.2295468914646997E-2</v>
      </c>
      <c r="AO49" s="267">
        <f t="shared" si="30"/>
        <v>0</v>
      </c>
      <c r="AP49" s="267">
        <f t="shared" si="30"/>
        <v>1.2364172813487881E-2</v>
      </c>
      <c r="AQ49" s="267">
        <f t="shared" si="30"/>
        <v>0</v>
      </c>
      <c r="AR49" s="267">
        <f t="shared" si="30"/>
        <v>0</v>
      </c>
      <c r="AS49" s="267">
        <f t="shared" si="30"/>
        <v>0</v>
      </c>
      <c r="AT49" s="267">
        <f t="shared" si="30"/>
        <v>0</v>
      </c>
      <c r="AU49" s="267">
        <f t="shared" si="30"/>
        <v>6.5985661156372005E-3</v>
      </c>
      <c r="AV49" s="267">
        <f t="shared" si="30"/>
        <v>0</v>
      </c>
      <c r="AW49" s="267">
        <f t="shared" si="30"/>
        <v>0</v>
      </c>
      <c r="AX49" s="267">
        <f t="shared" si="30"/>
        <v>0</v>
      </c>
      <c r="AY49" s="267">
        <f t="shared" si="30"/>
        <v>0</v>
      </c>
      <c r="AZ49" s="267">
        <f t="shared" si="30"/>
        <v>0</v>
      </c>
      <c r="BA49" s="267">
        <f t="shared" si="30"/>
        <v>0</v>
      </c>
      <c r="BB49" s="267">
        <f t="shared" si="30"/>
        <v>4.4293079917100547E-3</v>
      </c>
      <c r="BC49" s="267">
        <f t="shared" si="30"/>
        <v>0</v>
      </c>
      <c r="BD49" s="267">
        <f t="shared" si="30"/>
        <v>0</v>
      </c>
      <c r="BE49" s="267">
        <f t="shared" si="30"/>
        <v>0</v>
      </c>
      <c r="BF49" s="268">
        <f t="shared" si="30"/>
        <v>0</v>
      </c>
      <c r="BG49" s="274">
        <f t="shared" si="4"/>
        <v>1.8304604031420283E-3</v>
      </c>
    </row>
    <row r="50" spans="1:59" x14ac:dyDescent="0.25">
      <c r="A50" s="270" t="s">
        <v>202</v>
      </c>
      <c r="B50" s="271">
        <f t="shared" ref="B50:AG50" si="31">B74/365</f>
        <v>9.1025174468300721E-3</v>
      </c>
      <c r="C50" s="271">
        <f t="shared" si="31"/>
        <v>0</v>
      </c>
      <c r="D50" s="271">
        <f t="shared" si="31"/>
        <v>6.6267731759986756E-3</v>
      </c>
      <c r="E50" s="271">
        <f t="shared" si="31"/>
        <v>4.8169957669956928E-3</v>
      </c>
      <c r="F50" s="271">
        <f t="shared" si="31"/>
        <v>2.9128977083766995E-3</v>
      </c>
      <c r="G50" s="271">
        <f t="shared" si="31"/>
        <v>4.836643124298763E-3</v>
      </c>
      <c r="H50" s="271">
        <f t="shared" si="31"/>
        <v>6.3576921353045313E-3</v>
      </c>
      <c r="I50" s="271">
        <f t="shared" si="31"/>
        <v>1.5215627886070661E-3</v>
      </c>
      <c r="J50" s="271">
        <f t="shared" si="31"/>
        <v>1.6133594925182909E-3</v>
      </c>
      <c r="K50" s="271">
        <f t="shared" si="31"/>
        <v>3.1552334392890274E-3</v>
      </c>
      <c r="L50" s="271">
        <f t="shared" si="31"/>
        <v>4.4242542571155336E-3</v>
      </c>
      <c r="M50" s="271">
        <f t="shared" si="31"/>
        <v>1.6129225740780077E-3</v>
      </c>
      <c r="N50" s="271">
        <f t="shared" si="31"/>
        <v>9.1047383183163935E-3</v>
      </c>
      <c r="O50" s="271">
        <f t="shared" si="31"/>
        <v>0</v>
      </c>
      <c r="P50" s="271">
        <f t="shared" si="31"/>
        <v>3.8987600643738689E-3</v>
      </c>
      <c r="Q50" s="271">
        <f t="shared" si="31"/>
        <v>3.48841773460132E-3</v>
      </c>
      <c r="R50" s="271">
        <f t="shared" si="31"/>
        <v>7.2996831016353351E-3</v>
      </c>
      <c r="S50" s="271">
        <f t="shared" si="31"/>
        <v>6.0952560270316949E-3</v>
      </c>
      <c r="T50" s="271">
        <f t="shared" si="31"/>
        <v>4.7740174856617835E-3</v>
      </c>
      <c r="U50" s="271">
        <f t="shared" si="31"/>
        <v>3.1221369996186814E-3</v>
      </c>
      <c r="V50" s="271">
        <f t="shared" si="31"/>
        <v>4.2501632332329706E-3</v>
      </c>
      <c r="W50" s="271">
        <f t="shared" si="31"/>
        <v>0</v>
      </c>
      <c r="X50" s="271">
        <f t="shared" si="31"/>
        <v>4.2810015711816146E-3</v>
      </c>
      <c r="Y50" s="271">
        <f t="shared" si="31"/>
        <v>3.094531840695702E-3</v>
      </c>
      <c r="Z50" s="271">
        <f t="shared" si="31"/>
        <v>5.762074854027935E-3</v>
      </c>
      <c r="AA50" s="271">
        <f t="shared" si="31"/>
        <v>0</v>
      </c>
      <c r="AB50" s="271">
        <f t="shared" si="31"/>
        <v>2.6104627879820447E-3</v>
      </c>
      <c r="AC50" s="271">
        <f t="shared" si="31"/>
        <v>4.6777888778595867E-3</v>
      </c>
      <c r="AD50" s="271">
        <f t="shared" si="31"/>
        <v>4.4161129612195291E-3</v>
      </c>
      <c r="AE50" s="271">
        <f t="shared" si="31"/>
        <v>3.7141749981516171E-3</v>
      </c>
      <c r="AF50" s="271">
        <f t="shared" si="31"/>
        <v>6.5867818146398234E-3</v>
      </c>
      <c r="AG50" s="271">
        <f t="shared" si="31"/>
        <v>3.8101761252446187E-3</v>
      </c>
      <c r="AH50" s="271">
        <f t="shared" ref="AH50:BF50" si="32">AH74/365</f>
        <v>8.2786411137153477E-3</v>
      </c>
      <c r="AI50" s="271">
        <f t="shared" si="32"/>
        <v>5.9712367291414317E-3</v>
      </c>
      <c r="AJ50" s="271">
        <f t="shared" si="32"/>
        <v>3.4489294376474542E-3</v>
      </c>
      <c r="AK50" s="271">
        <f t="shared" si="32"/>
        <v>5.1335033583125526E-3</v>
      </c>
      <c r="AL50" s="271">
        <f t="shared" si="32"/>
        <v>6.1068992239786332E-3</v>
      </c>
      <c r="AM50" s="271">
        <f t="shared" si="32"/>
        <v>9.070416529759576E-3</v>
      </c>
      <c r="AN50" s="271">
        <f t="shared" si="32"/>
        <v>4.7928780594032475E-3</v>
      </c>
      <c r="AO50" s="271">
        <f t="shared" si="32"/>
        <v>1.0977277829932262E-3</v>
      </c>
      <c r="AP50" s="271">
        <f t="shared" si="32"/>
        <v>3.8226210774429982E-3</v>
      </c>
      <c r="AQ50" s="271">
        <f t="shared" si="32"/>
        <v>6.9194866810140957E-3</v>
      </c>
      <c r="AR50" s="271">
        <f t="shared" si="32"/>
        <v>1.3118189604548951E-3</v>
      </c>
      <c r="AS50" s="271">
        <f t="shared" si="32"/>
        <v>4.7883096735156184E-3</v>
      </c>
      <c r="AT50" s="271">
        <f t="shared" si="32"/>
        <v>6.9365559399347616E-3</v>
      </c>
      <c r="AU50" s="271">
        <f t="shared" si="32"/>
        <v>5.3682663252195006E-3</v>
      </c>
      <c r="AV50" s="271">
        <f t="shared" si="32"/>
        <v>5.8052043490226862E-3</v>
      </c>
      <c r="AW50" s="271">
        <f t="shared" si="32"/>
        <v>4.8810495350088134E-3</v>
      </c>
      <c r="AX50" s="271">
        <f t="shared" si="32"/>
        <v>2.976817268168157E-3</v>
      </c>
      <c r="AY50" s="271">
        <f t="shared" si="32"/>
        <v>5.59339390177552E-3</v>
      </c>
      <c r="AZ50" s="271">
        <f t="shared" si="32"/>
        <v>4.6253123444055591E-3</v>
      </c>
      <c r="BA50" s="271">
        <f t="shared" si="32"/>
        <v>4.6635391255395002E-3</v>
      </c>
      <c r="BB50" s="271">
        <f t="shared" si="32"/>
        <v>3.4224339612841104E-3</v>
      </c>
      <c r="BC50" s="271">
        <f t="shared" si="32"/>
        <v>3.8865668507303578E-3</v>
      </c>
      <c r="BD50" s="271">
        <f t="shared" si="32"/>
        <v>3.9916019824956508E-3</v>
      </c>
      <c r="BE50" s="271">
        <f t="shared" si="32"/>
        <v>5.4323546777062508E-3</v>
      </c>
      <c r="BF50" s="272">
        <f t="shared" si="32"/>
        <v>7.1614992826717202E-3</v>
      </c>
      <c r="BG50" s="273">
        <f t="shared" si="4"/>
        <v>4.4465648223899748E-3</v>
      </c>
    </row>
    <row r="51" spans="1:59" x14ac:dyDescent="0.25">
      <c r="A51" s="266" t="s">
        <v>174</v>
      </c>
      <c r="B51" s="267">
        <f t="shared" ref="B51:AG51" si="33">B75/365</f>
        <v>1.0991941982272361E-2</v>
      </c>
      <c r="C51" s="267">
        <f t="shared" si="33"/>
        <v>0</v>
      </c>
      <c r="D51" s="267">
        <f t="shared" si="33"/>
        <v>0</v>
      </c>
      <c r="E51" s="267">
        <f t="shared" si="33"/>
        <v>6.2032979181638167E-3</v>
      </c>
      <c r="F51" s="267">
        <f t="shared" si="33"/>
        <v>0</v>
      </c>
      <c r="G51" s="267">
        <f t="shared" si="33"/>
        <v>6.3078683968275139E-3</v>
      </c>
      <c r="H51" s="267">
        <f t="shared" si="33"/>
        <v>0</v>
      </c>
      <c r="I51" s="267">
        <f t="shared" si="33"/>
        <v>0</v>
      </c>
      <c r="J51" s="267">
        <f t="shared" si="33"/>
        <v>0</v>
      </c>
      <c r="K51" s="267">
        <f t="shared" si="33"/>
        <v>9.6484525831630405E-3</v>
      </c>
      <c r="L51" s="267">
        <f t="shared" si="33"/>
        <v>6.4741528386307199E-3</v>
      </c>
      <c r="M51" s="267">
        <f t="shared" si="33"/>
        <v>2.2641199231984224E-3</v>
      </c>
      <c r="N51" s="267">
        <f t="shared" si="33"/>
        <v>0</v>
      </c>
      <c r="O51" s="267">
        <f t="shared" si="33"/>
        <v>0</v>
      </c>
      <c r="P51" s="267">
        <f t="shared" si="33"/>
        <v>1.2428450543158958E-2</v>
      </c>
      <c r="Q51" s="267">
        <f t="shared" si="33"/>
        <v>1.0642219409727476E-2</v>
      </c>
      <c r="R51" s="267">
        <f t="shared" si="33"/>
        <v>9.8282402528977863E-3</v>
      </c>
      <c r="S51" s="267">
        <f t="shared" si="33"/>
        <v>0</v>
      </c>
      <c r="T51" s="267">
        <f t="shared" si="33"/>
        <v>1.4877939071764464E-2</v>
      </c>
      <c r="U51" s="267">
        <f t="shared" si="33"/>
        <v>9.1617060769453636E-3</v>
      </c>
      <c r="V51" s="267">
        <f t="shared" si="33"/>
        <v>0</v>
      </c>
      <c r="W51" s="267">
        <f t="shared" si="33"/>
        <v>0</v>
      </c>
      <c r="X51" s="267">
        <f t="shared" si="33"/>
        <v>0</v>
      </c>
      <c r="Y51" s="267">
        <f t="shared" si="33"/>
        <v>8.8834777505493439E-3</v>
      </c>
      <c r="Z51" s="267">
        <f t="shared" si="33"/>
        <v>0</v>
      </c>
      <c r="AA51" s="267">
        <f t="shared" si="33"/>
        <v>0</v>
      </c>
      <c r="AB51" s="267">
        <f t="shared" si="33"/>
        <v>0</v>
      </c>
      <c r="AC51" s="267">
        <f t="shared" si="33"/>
        <v>0</v>
      </c>
      <c r="AD51" s="267">
        <f t="shared" si="33"/>
        <v>0</v>
      </c>
      <c r="AE51" s="267">
        <f t="shared" si="33"/>
        <v>0</v>
      </c>
      <c r="AF51" s="267">
        <f t="shared" si="33"/>
        <v>0</v>
      </c>
      <c r="AG51" s="267">
        <f t="shared" si="33"/>
        <v>0</v>
      </c>
      <c r="AH51" s="267">
        <f t="shared" ref="AH51:BF51" si="34">AH75/365</f>
        <v>9.771063989491461E-3</v>
      </c>
      <c r="AI51" s="267">
        <f t="shared" si="34"/>
        <v>0</v>
      </c>
      <c r="AJ51" s="267">
        <f t="shared" si="34"/>
        <v>0</v>
      </c>
      <c r="AK51" s="267">
        <f t="shared" si="34"/>
        <v>1.5134487093728026E-2</v>
      </c>
      <c r="AL51" s="267">
        <f t="shared" si="34"/>
        <v>0</v>
      </c>
      <c r="AM51" s="267">
        <f t="shared" si="34"/>
        <v>9.5671218398738385E-3</v>
      </c>
      <c r="AN51" s="267">
        <f t="shared" si="34"/>
        <v>1.2136387462320904E-2</v>
      </c>
      <c r="AO51" s="267">
        <f t="shared" si="34"/>
        <v>0</v>
      </c>
      <c r="AP51" s="267">
        <f t="shared" si="34"/>
        <v>1.3866903553895431E-2</v>
      </c>
      <c r="AQ51" s="267">
        <f t="shared" si="34"/>
        <v>0</v>
      </c>
      <c r="AR51" s="267">
        <f t="shared" si="34"/>
        <v>0</v>
      </c>
      <c r="AS51" s="267">
        <f t="shared" si="34"/>
        <v>6.2965860986432627E-3</v>
      </c>
      <c r="AT51" s="267">
        <f t="shared" si="34"/>
        <v>0</v>
      </c>
      <c r="AU51" s="267">
        <f t="shared" si="34"/>
        <v>0</v>
      </c>
      <c r="AV51" s="267">
        <f t="shared" si="34"/>
        <v>9.2204084948873302E-3</v>
      </c>
      <c r="AW51" s="267">
        <f t="shared" si="34"/>
        <v>0</v>
      </c>
      <c r="AX51" s="267">
        <f t="shared" si="34"/>
        <v>9.2574424124741723E-3</v>
      </c>
      <c r="AY51" s="267">
        <f t="shared" si="34"/>
        <v>6.0211013014006788E-3</v>
      </c>
      <c r="AZ51" s="267">
        <f t="shared" si="34"/>
        <v>6.3478325719735938E-3</v>
      </c>
      <c r="BA51" s="267">
        <f t="shared" si="34"/>
        <v>0</v>
      </c>
      <c r="BB51" s="267">
        <f t="shared" si="34"/>
        <v>1.065532124770409E-2</v>
      </c>
      <c r="BC51" s="267">
        <f t="shared" si="34"/>
        <v>0</v>
      </c>
      <c r="BD51" s="267">
        <f t="shared" si="34"/>
        <v>0</v>
      </c>
      <c r="BE51" s="267">
        <f t="shared" si="34"/>
        <v>9.9671699082591724E-3</v>
      </c>
      <c r="BF51" s="268">
        <f t="shared" si="34"/>
        <v>9.3428628151677601E-3</v>
      </c>
      <c r="BG51" s="274">
        <f t="shared" si="4"/>
        <v>4.1280097462652451E-3</v>
      </c>
    </row>
    <row r="52" spans="1:59" x14ac:dyDescent="0.25">
      <c r="A52" s="270" t="s">
        <v>200</v>
      </c>
      <c r="B52" s="271">
        <f t="shared" ref="B52:AG52" si="35">B76/365</f>
        <v>1.1203062046736502E-2</v>
      </c>
      <c r="C52" s="271">
        <f t="shared" si="35"/>
        <v>0</v>
      </c>
      <c r="D52" s="271">
        <f t="shared" si="35"/>
        <v>7.4786411458274225E-3</v>
      </c>
      <c r="E52" s="271">
        <f t="shared" si="35"/>
        <v>6.0078107630029323E-3</v>
      </c>
      <c r="F52" s="271">
        <f t="shared" si="35"/>
        <v>7.5113359098416778E-3</v>
      </c>
      <c r="G52" s="271">
        <f t="shared" si="35"/>
        <v>5.8948546028091721E-3</v>
      </c>
      <c r="H52" s="271">
        <f t="shared" si="35"/>
        <v>1.1651028313684376E-2</v>
      </c>
      <c r="I52" s="271">
        <f t="shared" si="35"/>
        <v>6.0672664076875903E-3</v>
      </c>
      <c r="J52" s="271">
        <f t="shared" si="35"/>
        <v>5.1619274330696706E-3</v>
      </c>
      <c r="K52" s="271">
        <f t="shared" si="35"/>
        <v>1.0399661993836743E-2</v>
      </c>
      <c r="L52" s="271">
        <f t="shared" si="35"/>
        <v>5.8729571955230212E-3</v>
      </c>
      <c r="M52" s="271">
        <f t="shared" si="35"/>
        <v>5.2010253935670875E-3</v>
      </c>
      <c r="N52" s="271">
        <f t="shared" si="35"/>
        <v>1.5216826018078465E-2</v>
      </c>
      <c r="O52" s="271">
        <f t="shared" si="35"/>
        <v>0</v>
      </c>
      <c r="P52" s="271">
        <f t="shared" si="35"/>
        <v>9.9390150782795381E-3</v>
      </c>
      <c r="Q52" s="271">
        <f t="shared" si="35"/>
        <v>1.0919117681729632E-2</v>
      </c>
      <c r="R52" s="271">
        <f t="shared" si="35"/>
        <v>9.0167167312107319E-3</v>
      </c>
      <c r="S52" s="271">
        <f t="shared" si="35"/>
        <v>8.2391650358773633E-3</v>
      </c>
      <c r="T52" s="271">
        <f t="shared" si="35"/>
        <v>1.4303881585950159E-2</v>
      </c>
      <c r="U52" s="271">
        <f t="shared" si="35"/>
        <v>9.5114796769036405E-3</v>
      </c>
      <c r="V52" s="271">
        <f t="shared" si="35"/>
        <v>0</v>
      </c>
      <c r="W52" s="271">
        <f t="shared" si="35"/>
        <v>7.8271865121180197E-3</v>
      </c>
      <c r="X52" s="271">
        <f t="shared" si="35"/>
        <v>6.5534663521273689E-3</v>
      </c>
      <c r="Y52" s="271">
        <f t="shared" si="35"/>
        <v>9.6816857884189991E-3</v>
      </c>
      <c r="Z52" s="271">
        <f t="shared" si="35"/>
        <v>0</v>
      </c>
      <c r="AA52" s="271">
        <f t="shared" si="35"/>
        <v>1.4817940786566505E-2</v>
      </c>
      <c r="AB52" s="271">
        <f t="shared" si="35"/>
        <v>6.2885616438356166E-3</v>
      </c>
      <c r="AC52" s="271">
        <f t="shared" si="35"/>
        <v>6.6027244336395912E-3</v>
      </c>
      <c r="AD52" s="271">
        <f t="shared" si="35"/>
        <v>8.2090871266583439E-3</v>
      </c>
      <c r="AE52" s="271">
        <f t="shared" si="35"/>
        <v>8.143196347031964E-3</v>
      </c>
      <c r="AF52" s="271">
        <f t="shared" si="35"/>
        <v>1.0187964659749745E-2</v>
      </c>
      <c r="AG52" s="271">
        <f t="shared" si="35"/>
        <v>9.8171624428277995E-3</v>
      </c>
      <c r="AH52" s="271">
        <f t="shared" ref="AH52:BF52" si="36">AH76/365</f>
        <v>1.2163179604526795E-2</v>
      </c>
      <c r="AI52" s="271">
        <f t="shared" si="36"/>
        <v>1.0000341718056926E-2</v>
      </c>
      <c r="AJ52" s="271">
        <f t="shared" si="36"/>
        <v>6.9952362383580375E-3</v>
      </c>
      <c r="AK52" s="271">
        <f t="shared" si="36"/>
        <v>1.2038208777577948E-2</v>
      </c>
      <c r="AL52" s="271">
        <f t="shared" si="36"/>
        <v>9.6804887078859678E-3</v>
      </c>
      <c r="AM52" s="271">
        <f t="shared" si="36"/>
        <v>9.7530081691955921E-3</v>
      </c>
      <c r="AN52" s="271">
        <f t="shared" si="36"/>
        <v>1.1089431401972836E-2</v>
      </c>
      <c r="AO52" s="271">
        <f t="shared" si="36"/>
        <v>3.5149383606075555E-3</v>
      </c>
      <c r="AP52" s="271">
        <f t="shared" si="36"/>
        <v>8.7912365372859961E-3</v>
      </c>
      <c r="AQ52" s="271">
        <f t="shared" si="36"/>
        <v>5.9907063556496791E-3</v>
      </c>
      <c r="AR52" s="271">
        <f t="shared" si="36"/>
        <v>3.3656772958311492E-3</v>
      </c>
      <c r="AS52" s="271">
        <f t="shared" si="36"/>
        <v>5.9355857208260622E-3</v>
      </c>
      <c r="AT52" s="271">
        <f t="shared" si="36"/>
        <v>6.8126510878323927E-3</v>
      </c>
      <c r="AU52" s="271">
        <f t="shared" si="36"/>
        <v>5.7050418931696763E-3</v>
      </c>
      <c r="AV52" s="271">
        <f t="shared" si="36"/>
        <v>8.8887161793370726E-3</v>
      </c>
      <c r="AW52" s="271">
        <f t="shared" si="36"/>
        <v>5.0200976073307042E-3</v>
      </c>
      <c r="AX52" s="271">
        <f t="shared" si="36"/>
        <v>9.5124757248506858E-3</v>
      </c>
      <c r="AY52" s="271">
        <f t="shared" si="36"/>
        <v>9.7161517836811088E-3</v>
      </c>
      <c r="AZ52" s="271">
        <f t="shared" si="36"/>
        <v>6.0075732071677755E-3</v>
      </c>
      <c r="BA52" s="271">
        <f t="shared" si="36"/>
        <v>7.1397473367856993E-3</v>
      </c>
      <c r="BB52" s="271">
        <f t="shared" si="36"/>
        <v>1.0323267873851728E-2</v>
      </c>
      <c r="BC52" s="271">
        <f t="shared" si="36"/>
        <v>7.2306795459912126E-3</v>
      </c>
      <c r="BD52" s="271">
        <f t="shared" si="36"/>
        <v>7.4788584474885841E-3</v>
      </c>
      <c r="BE52" s="271">
        <f t="shared" si="36"/>
        <v>9.2038349891988506E-3</v>
      </c>
      <c r="BF52" s="272">
        <f t="shared" si="36"/>
        <v>9.0430046219547901E-3</v>
      </c>
      <c r="BG52" s="273">
        <f t="shared" si="4"/>
        <v>7.8793840051404312E-3</v>
      </c>
    </row>
    <row r="53" spans="1:59" x14ac:dyDescent="0.25">
      <c r="A53" s="266" t="s">
        <v>199</v>
      </c>
      <c r="B53" s="267">
        <f t="shared" ref="B53:AG53" si="37">B77/365</f>
        <v>8.7677473890442562E-3</v>
      </c>
      <c r="C53" s="267">
        <f t="shared" si="37"/>
        <v>0</v>
      </c>
      <c r="D53" s="267">
        <f t="shared" si="37"/>
        <v>0</v>
      </c>
      <c r="E53" s="267">
        <f t="shared" si="37"/>
        <v>5.259141756813775E-3</v>
      </c>
      <c r="F53" s="267">
        <f t="shared" si="37"/>
        <v>6.5799737079359037E-3</v>
      </c>
      <c r="G53" s="267">
        <f t="shared" si="37"/>
        <v>4.8149049346329926E-3</v>
      </c>
      <c r="H53" s="267">
        <f t="shared" si="37"/>
        <v>1.0219960861056752E-2</v>
      </c>
      <c r="I53" s="267">
        <f t="shared" si="37"/>
        <v>0</v>
      </c>
      <c r="J53" s="267">
        <f t="shared" si="37"/>
        <v>3.4957338551859104E-3</v>
      </c>
      <c r="K53" s="267">
        <f t="shared" si="37"/>
        <v>7.5974570163741565E-3</v>
      </c>
      <c r="L53" s="267">
        <f t="shared" si="37"/>
        <v>4.4843967427549841E-3</v>
      </c>
      <c r="M53" s="267">
        <f t="shared" si="37"/>
        <v>0</v>
      </c>
      <c r="N53" s="267">
        <f t="shared" si="37"/>
        <v>1.4790514689217835E-2</v>
      </c>
      <c r="O53" s="267">
        <f t="shared" si="37"/>
        <v>1.6752377607172124E-2</v>
      </c>
      <c r="P53" s="267">
        <f t="shared" si="37"/>
        <v>9.6697900035519931E-3</v>
      </c>
      <c r="Q53" s="267">
        <f t="shared" si="37"/>
        <v>8.6927485743060525E-3</v>
      </c>
      <c r="R53" s="267">
        <f t="shared" si="37"/>
        <v>7.3561643835616444E-3</v>
      </c>
      <c r="S53" s="267">
        <f t="shared" si="37"/>
        <v>0</v>
      </c>
      <c r="T53" s="267">
        <f t="shared" si="37"/>
        <v>7.1461071690703979E-3</v>
      </c>
      <c r="U53" s="267">
        <f t="shared" si="37"/>
        <v>7.4727634535419205E-3</v>
      </c>
      <c r="V53" s="267">
        <f t="shared" si="37"/>
        <v>5.9529803776379123E-3</v>
      </c>
      <c r="W53" s="267">
        <f t="shared" si="37"/>
        <v>0</v>
      </c>
      <c r="X53" s="267">
        <f t="shared" si="37"/>
        <v>4.9622730660034871E-3</v>
      </c>
      <c r="Y53" s="267">
        <f t="shared" si="37"/>
        <v>7.598688018522092E-3</v>
      </c>
      <c r="Z53" s="267">
        <f t="shared" si="37"/>
        <v>0</v>
      </c>
      <c r="AA53" s="267">
        <f t="shared" si="37"/>
        <v>0</v>
      </c>
      <c r="AB53" s="267">
        <f t="shared" si="37"/>
        <v>3.4499238964992391E-3</v>
      </c>
      <c r="AC53" s="267">
        <f t="shared" si="37"/>
        <v>5.0999629766753053E-3</v>
      </c>
      <c r="AD53" s="267">
        <f t="shared" si="37"/>
        <v>0</v>
      </c>
      <c r="AE53" s="267">
        <f t="shared" si="37"/>
        <v>7.920051618026603E-3</v>
      </c>
      <c r="AF53" s="267">
        <f t="shared" si="37"/>
        <v>7.6850910823680106E-3</v>
      </c>
      <c r="AG53" s="267">
        <f t="shared" si="37"/>
        <v>0</v>
      </c>
      <c r="AH53" s="267">
        <f t="shared" ref="AH53:BF53" si="38">AH77/365</f>
        <v>1.1821052185691168E-2</v>
      </c>
      <c r="AI53" s="267">
        <f t="shared" si="38"/>
        <v>8.3241611691079725E-3</v>
      </c>
      <c r="AJ53" s="267">
        <f t="shared" si="38"/>
        <v>5.109246575342466E-3</v>
      </c>
      <c r="AK53" s="267">
        <f t="shared" si="38"/>
        <v>9.8344143737095161E-3</v>
      </c>
      <c r="AL53" s="267">
        <f t="shared" si="38"/>
        <v>9.725658567724749E-3</v>
      </c>
      <c r="AM53" s="267">
        <f t="shared" si="38"/>
        <v>9.1340257310021013E-3</v>
      </c>
      <c r="AN53" s="267">
        <f t="shared" si="38"/>
        <v>7.4658209614578619E-3</v>
      </c>
      <c r="AO53" s="267">
        <f t="shared" si="38"/>
        <v>0</v>
      </c>
      <c r="AP53" s="267">
        <f t="shared" si="38"/>
        <v>6.5466093034239241E-3</v>
      </c>
      <c r="AQ53" s="267">
        <f t="shared" si="38"/>
        <v>0</v>
      </c>
      <c r="AR53" s="267">
        <f t="shared" si="38"/>
        <v>0</v>
      </c>
      <c r="AS53" s="267">
        <f t="shared" si="38"/>
        <v>4.130505148307392E-3</v>
      </c>
      <c r="AT53" s="267">
        <f t="shared" si="38"/>
        <v>0</v>
      </c>
      <c r="AU53" s="267">
        <f t="shared" si="38"/>
        <v>0</v>
      </c>
      <c r="AV53" s="267">
        <f t="shared" si="38"/>
        <v>6.8906392994560039E-3</v>
      </c>
      <c r="AW53" s="267">
        <f t="shared" si="38"/>
        <v>5.0653204734281967E-3</v>
      </c>
      <c r="AX53" s="267">
        <f t="shared" si="38"/>
        <v>7.1943253008273263E-3</v>
      </c>
      <c r="AY53" s="267">
        <f t="shared" si="38"/>
        <v>8.2077828692918627E-3</v>
      </c>
      <c r="AZ53" s="267">
        <f t="shared" si="38"/>
        <v>4.6485842072237623E-3</v>
      </c>
      <c r="BA53" s="267">
        <f t="shared" si="38"/>
        <v>0</v>
      </c>
      <c r="BB53" s="267">
        <f t="shared" si="38"/>
        <v>8.5398624640962966E-3</v>
      </c>
      <c r="BC53" s="267">
        <f t="shared" si="38"/>
        <v>0</v>
      </c>
      <c r="BD53" s="267">
        <f t="shared" si="38"/>
        <v>7.4305432306237896E-3</v>
      </c>
      <c r="BE53" s="267">
        <f t="shared" si="38"/>
        <v>8.2612091207856855E-3</v>
      </c>
      <c r="BF53" s="268">
        <f t="shared" si="38"/>
        <v>7.3163720073068789E-3</v>
      </c>
      <c r="BG53" s="274">
        <f t="shared" si="4"/>
        <v>5.2879804591010578E-3</v>
      </c>
    </row>
    <row r="54" spans="1:59" x14ac:dyDescent="0.25">
      <c r="A54" s="275" t="s">
        <v>197</v>
      </c>
      <c r="B54" s="276">
        <f t="shared" ref="B54:AG54" si="39">B78/365</f>
        <v>3.6244391753296589E-3</v>
      </c>
      <c r="C54" s="276">
        <f t="shared" si="39"/>
        <v>0</v>
      </c>
      <c r="D54" s="276">
        <f t="shared" si="39"/>
        <v>1.5923226205800261E-3</v>
      </c>
      <c r="E54" s="276">
        <f t="shared" si="39"/>
        <v>4.3445789459388472E-3</v>
      </c>
      <c r="F54" s="276">
        <f t="shared" si="39"/>
        <v>1.8199447249922945E-3</v>
      </c>
      <c r="G54" s="276">
        <f t="shared" si="39"/>
        <v>4.0731921973095218E-3</v>
      </c>
      <c r="H54" s="276">
        <f t="shared" si="39"/>
        <v>4.340001596990559E-3</v>
      </c>
      <c r="I54" s="276">
        <f t="shared" si="39"/>
        <v>0</v>
      </c>
      <c r="J54" s="276">
        <f t="shared" si="39"/>
        <v>1.8499689868707032E-3</v>
      </c>
      <c r="K54" s="276">
        <f t="shared" si="39"/>
        <v>6.6984358968915515E-3</v>
      </c>
      <c r="L54" s="276">
        <f t="shared" si="39"/>
        <v>4.4391693261600692E-3</v>
      </c>
      <c r="M54" s="276">
        <f t="shared" si="39"/>
        <v>3.9072098927338947E-3</v>
      </c>
      <c r="N54" s="276">
        <f t="shared" si="39"/>
        <v>0</v>
      </c>
      <c r="O54" s="276">
        <f t="shared" si="39"/>
        <v>0</v>
      </c>
      <c r="P54" s="276">
        <f t="shared" si="39"/>
        <v>7.8951792579224633E-3</v>
      </c>
      <c r="Q54" s="276">
        <f t="shared" si="39"/>
        <v>6.8806415771906753E-3</v>
      </c>
      <c r="R54" s="276">
        <f t="shared" si="39"/>
        <v>6.099102580576248E-3</v>
      </c>
      <c r="S54" s="276">
        <f t="shared" si="39"/>
        <v>0</v>
      </c>
      <c r="T54" s="276">
        <f t="shared" si="39"/>
        <v>6.2468417155996728E-3</v>
      </c>
      <c r="U54" s="276">
        <f t="shared" si="39"/>
        <v>6.9363578732669984E-3</v>
      </c>
      <c r="V54" s="276">
        <f t="shared" si="39"/>
        <v>2.4551128201494659E-3</v>
      </c>
      <c r="W54" s="276">
        <f t="shared" si="39"/>
        <v>6.2901794327609494E-3</v>
      </c>
      <c r="X54" s="276">
        <f t="shared" si="39"/>
        <v>2.172902324242229E-3</v>
      </c>
      <c r="Y54" s="276">
        <f t="shared" si="39"/>
        <v>6.3104346691021263E-3</v>
      </c>
      <c r="Z54" s="276">
        <f t="shared" si="39"/>
        <v>0</v>
      </c>
      <c r="AA54" s="276">
        <f t="shared" si="39"/>
        <v>0</v>
      </c>
      <c r="AB54" s="276">
        <f t="shared" si="39"/>
        <v>5.2831070155123809E-3</v>
      </c>
      <c r="AC54" s="276">
        <f t="shared" si="39"/>
        <v>1.9452910952383788E-3</v>
      </c>
      <c r="AD54" s="276">
        <f t="shared" si="39"/>
        <v>3.0901081433732666E-3</v>
      </c>
      <c r="AE54" s="276">
        <f t="shared" si="39"/>
        <v>0</v>
      </c>
      <c r="AF54" s="276">
        <f t="shared" si="39"/>
        <v>3.8364458112550674E-3</v>
      </c>
      <c r="AG54" s="276">
        <f t="shared" si="39"/>
        <v>0</v>
      </c>
      <c r="AH54" s="276">
        <f t="shared" ref="AH54:BF54" si="40">AH78/365</f>
        <v>5.2744345533516923E-3</v>
      </c>
      <c r="AI54" s="276">
        <f t="shared" si="40"/>
        <v>3.7316594356276555E-3</v>
      </c>
      <c r="AJ54" s="276">
        <f t="shared" si="40"/>
        <v>4.0392694063926936E-3</v>
      </c>
      <c r="AK54" s="276">
        <f t="shared" si="40"/>
        <v>4.9551278360765718E-3</v>
      </c>
      <c r="AL54" s="276">
        <f t="shared" si="40"/>
        <v>3.0689586563404495E-3</v>
      </c>
      <c r="AM54" s="276">
        <f t="shared" si="40"/>
        <v>2.5223225394047314E-3</v>
      </c>
      <c r="AN54" s="276">
        <f t="shared" si="40"/>
        <v>2.7256451680428275E-3</v>
      </c>
      <c r="AO54" s="276">
        <f t="shared" si="40"/>
        <v>1.3465753424657535E-3</v>
      </c>
      <c r="AP54" s="276">
        <f t="shared" si="40"/>
        <v>3.0055767017250485E-3</v>
      </c>
      <c r="AQ54" s="276">
        <f t="shared" si="40"/>
        <v>1.582930862027759E-3</v>
      </c>
      <c r="AR54" s="276">
        <f t="shared" si="40"/>
        <v>2.9731506849315068E-3</v>
      </c>
      <c r="AS54" s="276">
        <f t="shared" si="40"/>
        <v>4.0639632059855544E-3</v>
      </c>
      <c r="AT54" s="276">
        <f t="shared" si="40"/>
        <v>0</v>
      </c>
      <c r="AU54" s="276">
        <f t="shared" si="40"/>
        <v>4.7273484381888334E-3</v>
      </c>
      <c r="AV54" s="276">
        <f t="shared" si="40"/>
        <v>2.8848735794385059E-3</v>
      </c>
      <c r="AW54" s="276">
        <f t="shared" si="40"/>
        <v>1.6474159531038759E-3</v>
      </c>
      <c r="AX54" s="276">
        <f t="shared" si="40"/>
        <v>6.3373767943480487E-3</v>
      </c>
      <c r="AY54" s="276">
        <f t="shared" si="40"/>
        <v>2.8599776213838078E-3</v>
      </c>
      <c r="AZ54" s="276">
        <f t="shared" si="40"/>
        <v>3.9268549493915251E-3</v>
      </c>
      <c r="BA54" s="276">
        <f t="shared" si="40"/>
        <v>4.3547427819872432E-3</v>
      </c>
      <c r="BB54" s="276">
        <f t="shared" si="40"/>
        <v>7.5757102778688046E-3</v>
      </c>
      <c r="BC54" s="276">
        <f t="shared" si="40"/>
        <v>0</v>
      </c>
      <c r="BD54" s="276">
        <f t="shared" si="40"/>
        <v>4.5670707802201978E-3</v>
      </c>
      <c r="BE54" s="276">
        <f t="shared" si="40"/>
        <v>2.9204132217734405E-3</v>
      </c>
      <c r="BF54" s="276">
        <f t="shared" si="40"/>
        <v>2.485305775134272E-3</v>
      </c>
      <c r="BG54" s="277">
        <f t="shared" si="4"/>
        <v>3.258029337635051E-3</v>
      </c>
    </row>
    <row r="55" spans="1:59" x14ac:dyDescent="0.25">
      <c r="A55" s="278" t="s">
        <v>287</v>
      </c>
      <c r="B55" s="279">
        <v>0</v>
      </c>
      <c r="C55" s="279">
        <v>0</v>
      </c>
      <c r="D55" s="279">
        <v>0</v>
      </c>
      <c r="E55" s="279">
        <v>0</v>
      </c>
      <c r="F55" s="279">
        <v>0</v>
      </c>
      <c r="G55" s="279">
        <v>0</v>
      </c>
      <c r="H55" s="279">
        <v>0</v>
      </c>
      <c r="I55" s="279">
        <v>0</v>
      </c>
      <c r="J55" s="279">
        <v>0</v>
      </c>
      <c r="K55" s="279">
        <v>0</v>
      </c>
      <c r="L55" s="279">
        <v>0</v>
      </c>
      <c r="M55" s="279">
        <v>0</v>
      </c>
      <c r="N55" s="279">
        <v>0</v>
      </c>
      <c r="O55" s="279">
        <v>0</v>
      </c>
      <c r="P55" s="279">
        <v>0</v>
      </c>
      <c r="Q55" s="279">
        <v>0</v>
      </c>
      <c r="R55" s="279">
        <v>0</v>
      </c>
      <c r="S55" s="279">
        <v>0</v>
      </c>
      <c r="T55" s="279">
        <v>0</v>
      </c>
      <c r="U55" s="279">
        <v>0</v>
      </c>
      <c r="V55" s="279">
        <v>0</v>
      </c>
      <c r="W55" s="279">
        <v>0</v>
      </c>
      <c r="X55" s="279">
        <v>0</v>
      </c>
      <c r="Y55" s="279">
        <v>0</v>
      </c>
      <c r="Z55" s="279">
        <v>0</v>
      </c>
      <c r="AA55" s="279">
        <v>0</v>
      </c>
      <c r="AB55" s="279">
        <v>0</v>
      </c>
      <c r="AC55" s="279">
        <v>0</v>
      </c>
      <c r="AD55" s="279">
        <v>0</v>
      </c>
      <c r="AE55" s="279">
        <v>0</v>
      </c>
      <c r="AF55" s="279">
        <v>0</v>
      </c>
      <c r="AG55" s="279">
        <v>0</v>
      </c>
      <c r="AH55" s="279">
        <v>0</v>
      </c>
      <c r="AI55" s="279">
        <v>0</v>
      </c>
      <c r="AJ55" s="279">
        <v>0</v>
      </c>
      <c r="AK55" s="279">
        <v>0</v>
      </c>
      <c r="AL55" s="279">
        <v>0</v>
      </c>
      <c r="AM55" s="279">
        <v>0</v>
      </c>
      <c r="AN55" s="279">
        <v>0</v>
      </c>
      <c r="AO55" s="279">
        <v>0</v>
      </c>
      <c r="AP55" s="279">
        <v>0</v>
      </c>
      <c r="AQ55" s="279">
        <v>0</v>
      </c>
      <c r="AR55" s="279">
        <v>0</v>
      </c>
      <c r="AS55" s="279">
        <v>0</v>
      </c>
      <c r="AT55" s="279">
        <v>0</v>
      </c>
      <c r="AU55" s="279">
        <v>0</v>
      </c>
      <c r="AV55" s="279">
        <v>0</v>
      </c>
      <c r="AW55" s="279">
        <v>0</v>
      </c>
      <c r="AX55" s="279">
        <v>0</v>
      </c>
      <c r="AY55" s="279">
        <v>0</v>
      </c>
      <c r="AZ55" s="279">
        <v>0</v>
      </c>
      <c r="BA55" s="279">
        <v>0</v>
      </c>
      <c r="BB55" s="279">
        <v>0</v>
      </c>
      <c r="BC55" s="279">
        <v>0</v>
      </c>
      <c r="BD55" s="279">
        <v>0</v>
      </c>
      <c r="BE55" s="279">
        <v>0</v>
      </c>
      <c r="BF55" s="279">
        <v>0</v>
      </c>
      <c r="BG55" s="280">
        <f t="shared" si="4"/>
        <v>0</v>
      </c>
    </row>
    <row r="56" spans="1:59" x14ac:dyDescent="0.25">
      <c r="A56" s="54"/>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row>
    <row r="57" spans="1:59" ht="21.75" thickBot="1" x14ac:dyDescent="0.35">
      <c r="A57" s="9" t="s">
        <v>104</v>
      </c>
      <c r="B57" s="69" t="s">
        <v>286</v>
      </c>
    </row>
    <row r="58" spans="1:59" ht="16.5" thickBot="1" x14ac:dyDescent="0.3">
      <c r="A58" s="281" t="s">
        <v>20</v>
      </c>
      <c r="B58" s="282" t="s">
        <v>203</v>
      </c>
      <c r="C58" s="282" t="s">
        <v>204</v>
      </c>
      <c r="D58" s="282" t="s">
        <v>205</v>
      </c>
      <c r="E58" s="282" t="s">
        <v>206</v>
      </c>
      <c r="F58" s="282" t="s">
        <v>207</v>
      </c>
      <c r="G58" s="282" t="s">
        <v>208</v>
      </c>
      <c r="H58" s="282" t="s">
        <v>209</v>
      </c>
      <c r="I58" s="282" t="s">
        <v>210</v>
      </c>
      <c r="J58" s="282" t="s">
        <v>211</v>
      </c>
      <c r="K58" s="282" t="s">
        <v>212</v>
      </c>
      <c r="L58" s="282" t="s">
        <v>213</v>
      </c>
      <c r="M58" s="282" t="s">
        <v>214</v>
      </c>
      <c r="N58" s="282" t="s">
        <v>215</v>
      </c>
      <c r="O58" s="282" t="s">
        <v>216</v>
      </c>
      <c r="P58" s="282" t="s">
        <v>217</v>
      </c>
      <c r="Q58" s="282" t="s">
        <v>218</v>
      </c>
      <c r="R58" s="282" t="s">
        <v>219</v>
      </c>
      <c r="S58" s="282" t="s">
        <v>220</v>
      </c>
      <c r="T58" s="282" t="s">
        <v>221</v>
      </c>
      <c r="U58" s="282" t="s">
        <v>222</v>
      </c>
      <c r="V58" s="282" t="s">
        <v>223</v>
      </c>
      <c r="W58" s="282" t="s">
        <v>224</v>
      </c>
      <c r="X58" s="282" t="s">
        <v>225</v>
      </c>
      <c r="Y58" s="282" t="s">
        <v>226</v>
      </c>
      <c r="Z58" s="282" t="s">
        <v>227</v>
      </c>
      <c r="AA58" s="282" t="s">
        <v>228</v>
      </c>
      <c r="AB58" s="282" t="s">
        <v>229</v>
      </c>
      <c r="AC58" s="282" t="s">
        <v>230</v>
      </c>
      <c r="AD58" s="282" t="s">
        <v>231</v>
      </c>
      <c r="AE58" s="282" t="s">
        <v>232</v>
      </c>
      <c r="AF58" s="282" t="s">
        <v>233</v>
      </c>
      <c r="AG58" s="282" t="s">
        <v>234</v>
      </c>
      <c r="AH58" s="282" t="s">
        <v>235</v>
      </c>
      <c r="AI58" s="282" t="s">
        <v>236</v>
      </c>
      <c r="AJ58" s="282" t="s">
        <v>237</v>
      </c>
      <c r="AK58" s="282" t="s">
        <v>238</v>
      </c>
      <c r="AL58" s="282" t="s">
        <v>239</v>
      </c>
      <c r="AM58" s="282" t="s">
        <v>240</v>
      </c>
      <c r="AN58" s="282" t="s">
        <v>241</v>
      </c>
      <c r="AO58" s="282" t="s">
        <v>242</v>
      </c>
      <c r="AP58" s="282" t="s">
        <v>243</v>
      </c>
      <c r="AQ58" s="282" t="s">
        <v>244</v>
      </c>
      <c r="AR58" s="282" t="s">
        <v>245</v>
      </c>
      <c r="AS58" s="282" t="s">
        <v>246</v>
      </c>
      <c r="AT58" s="282" t="s">
        <v>247</v>
      </c>
      <c r="AU58" s="282" t="s">
        <v>248</v>
      </c>
      <c r="AV58" s="282" t="s">
        <v>249</v>
      </c>
      <c r="AW58" s="282" t="s">
        <v>250</v>
      </c>
      <c r="AX58" s="282" t="s">
        <v>251</v>
      </c>
      <c r="AY58" s="282" t="s">
        <v>252</v>
      </c>
      <c r="AZ58" s="282" t="s">
        <v>253</v>
      </c>
      <c r="BA58" s="282" t="s">
        <v>254</v>
      </c>
      <c r="BB58" s="282" t="s">
        <v>255</v>
      </c>
      <c r="BC58" s="282" t="s">
        <v>256</v>
      </c>
      <c r="BD58" s="282" t="s">
        <v>257</v>
      </c>
      <c r="BE58" s="282" t="s">
        <v>258</v>
      </c>
      <c r="BF58" s="283" t="s">
        <v>259</v>
      </c>
      <c r="BG58" s="283" t="s">
        <v>288</v>
      </c>
    </row>
    <row r="59" spans="1:59" x14ac:dyDescent="0.25">
      <c r="A59" s="226" t="s">
        <v>182</v>
      </c>
      <c r="B59" s="227">
        <v>1.2271361594323014</v>
      </c>
      <c r="C59" s="227">
        <v>0</v>
      </c>
      <c r="D59" s="227">
        <v>0.15248132337246526</v>
      </c>
      <c r="E59" s="227">
        <v>0.15104040670368082</v>
      </c>
      <c r="F59" s="227">
        <v>0.25870116015468725</v>
      </c>
      <c r="G59" s="227">
        <v>0.39539030298235278</v>
      </c>
      <c r="H59" s="227">
        <v>1.7558104469973084</v>
      </c>
      <c r="I59" s="227">
        <v>0.10647520997019794</v>
      </c>
      <c r="J59" s="227">
        <v>0</v>
      </c>
      <c r="K59" s="227">
        <v>1.2582495121244395</v>
      </c>
      <c r="L59" s="227">
        <v>0.32639224252821514</v>
      </c>
      <c r="M59" s="227">
        <v>0.17467060846699445</v>
      </c>
      <c r="N59" s="227">
        <v>2.3227627835931215</v>
      </c>
      <c r="O59" s="227">
        <v>0</v>
      </c>
      <c r="P59" s="227">
        <v>1.8587820616890895</v>
      </c>
      <c r="Q59" s="227">
        <v>1.4745562174111486</v>
      </c>
      <c r="R59" s="227">
        <v>0.40237108984430775</v>
      </c>
      <c r="S59" s="227">
        <v>1.4092445418143253</v>
      </c>
      <c r="T59" s="227">
        <v>1.804135651582599</v>
      </c>
      <c r="U59" s="227">
        <v>1.0264421356539835</v>
      </c>
      <c r="V59" s="227">
        <v>8.3177819248200197E-2</v>
      </c>
      <c r="W59" s="227">
        <v>0</v>
      </c>
      <c r="X59" s="227">
        <v>0.13542857142857148</v>
      </c>
      <c r="Y59" s="227">
        <v>0.97055705361629752</v>
      </c>
      <c r="Z59" s="227">
        <v>1.8379226795096613</v>
      </c>
      <c r="AA59" s="227">
        <v>2.1509374999999999</v>
      </c>
      <c r="AB59" s="227">
        <v>0.55937654823061744</v>
      </c>
      <c r="AC59" s="227">
        <v>1.7800586510263932</v>
      </c>
      <c r="AD59" s="227">
        <v>0</v>
      </c>
      <c r="AE59" s="227">
        <v>1.262927667551945</v>
      </c>
      <c r="AF59" s="227">
        <v>1.0924160078196221</v>
      </c>
      <c r="AG59" s="227">
        <v>1.3331941544885175</v>
      </c>
      <c r="AH59" s="227">
        <v>1.5495421643903389</v>
      </c>
      <c r="AI59" s="227">
        <v>0.89053266256975117</v>
      </c>
      <c r="AJ59" s="227">
        <v>0</v>
      </c>
      <c r="AK59" s="227">
        <v>1.6941416444615744</v>
      </c>
      <c r="AL59" s="227">
        <v>1.1328125000000002</v>
      </c>
      <c r="AM59" s="227">
        <v>0.71939625739210233</v>
      </c>
      <c r="AN59" s="227">
        <v>1.0148165433975382</v>
      </c>
      <c r="AO59" s="227">
        <v>0</v>
      </c>
      <c r="AP59" s="227">
        <v>1.2678245390655114</v>
      </c>
      <c r="AQ59" s="227">
        <v>0.17469754539084945</v>
      </c>
      <c r="AR59" s="227">
        <v>0</v>
      </c>
      <c r="AS59" s="227">
        <v>0.91616396823692003</v>
      </c>
      <c r="AT59" s="227">
        <v>2.7959999999999998</v>
      </c>
      <c r="AU59" s="227">
        <v>1.758603837351536</v>
      </c>
      <c r="AV59" s="227">
        <v>0.5303910317169761</v>
      </c>
      <c r="AW59" s="227">
        <v>0.29032647157330826</v>
      </c>
      <c r="AX59" s="227">
        <v>0.92851119772536705</v>
      </c>
      <c r="AY59" s="227">
        <v>0.80862133372114298</v>
      </c>
      <c r="AZ59" s="227">
        <v>0.24072039684104496</v>
      </c>
      <c r="BA59" s="227">
        <v>1.5629872794419364</v>
      </c>
      <c r="BB59" s="227">
        <v>1.6470275850082019</v>
      </c>
      <c r="BC59" s="227">
        <v>0</v>
      </c>
      <c r="BD59" s="227">
        <v>0.98176386273604743</v>
      </c>
      <c r="BE59" s="227">
        <v>0.74857209909283662</v>
      </c>
      <c r="BF59" s="228">
        <v>0.79313432835820885</v>
      </c>
      <c r="BG59" s="237">
        <f>AVERAGE($B59:$BF59)</f>
        <v>0.87293378518793419</v>
      </c>
    </row>
    <row r="60" spans="1:59" x14ac:dyDescent="0.25">
      <c r="A60" s="218" t="s">
        <v>193</v>
      </c>
      <c r="B60" s="229">
        <v>0</v>
      </c>
      <c r="C60" s="229">
        <v>0</v>
      </c>
      <c r="D60" s="229">
        <v>0</v>
      </c>
      <c r="E60" s="229">
        <v>4.2001125405198572</v>
      </c>
      <c r="F60" s="229">
        <v>0</v>
      </c>
      <c r="G60" s="229">
        <v>4.1948516267429401</v>
      </c>
      <c r="H60" s="229">
        <v>0</v>
      </c>
      <c r="I60" s="229">
        <v>0</v>
      </c>
      <c r="J60" s="229">
        <v>0</v>
      </c>
      <c r="K60" s="229">
        <v>5.2663076923076915</v>
      </c>
      <c r="L60" s="229">
        <v>4.2000201330370501</v>
      </c>
      <c r="M60" s="229">
        <v>0</v>
      </c>
      <c r="N60" s="229">
        <v>0</v>
      </c>
      <c r="O60" s="229">
        <v>0</v>
      </c>
      <c r="P60" s="229">
        <v>0</v>
      </c>
      <c r="Q60" s="229">
        <v>0</v>
      </c>
      <c r="R60" s="229">
        <v>5.3623636363636358</v>
      </c>
      <c r="S60" s="229">
        <v>4.3791030059683163</v>
      </c>
      <c r="T60" s="229">
        <v>0</v>
      </c>
      <c r="U60" s="229">
        <v>0</v>
      </c>
      <c r="V60" s="229">
        <v>0</v>
      </c>
      <c r="W60" s="229">
        <v>0</v>
      </c>
      <c r="X60" s="229">
        <v>0</v>
      </c>
      <c r="Y60" s="229">
        <v>5.5210936699948805</v>
      </c>
      <c r="Z60" s="229">
        <v>4.7597286010307638</v>
      </c>
      <c r="AA60" s="229">
        <v>0</v>
      </c>
      <c r="AB60" s="229">
        <v>0</v>
      </c>
      <c r="AC60" s="229">
        <v>0</v>
      </c>
      <c r="AD60" s="229">
        <v>0</v>
      </c>
      <c r="AE60" s="229">
        <v>0</v>
      </c>
      <c r="AF60" s="229">
        <v>5.2766071428571424</v>
      </c>
      <c r="AG60" s="229">
        <v>0</v>
      </c>
      <c r="AH60" s="229">
        <v>0</v>
      </c>
      <c r="AI60" s="229">
        <v>5.0572289021471777</v>
      </c>
      <c r="AJ60" s="229">
        <v>0</v>
      </c>
      <c r="AK60" s="229">
        <v>0</v>
      </c>
      <c r="AL60" s="229">
        <v>0</v>
      </c>
      <c r="AM60" s="229">
        <v>5.2666601863258391</v>
      </c>
      <c r="AN60" s="229">
        <v>0</v>
      </c>
      <c r="AO60" s="229">
        <v>0</v>
      </c>
      <c r="AP60" s="229">
        <v>0</v>
      </c>
      <c r="AQ60" s="229">
        <v>0</v>
      </c>
      <c r="AR60" s="229">
        <v>0</v>
      </c>
      <c r="AS60" s="229">
        <v>4.6938181818181812</v>
      </c>
      <c r="AT60" s="229">
        <v>0</v>
      </c>
      <c r="AU60" s="229">
        <v>4.7105454545454544</v>
      </c>
      <c r="AV60" s="229">
        <v>0</v>
      </c>
      <c r="AW60" s="229">
        <v>0</v>
      </c>
      <c r="AX60" s="229">
        <v>5.6885000000000003</v>
      </c>
      <c r="AY60" s="229">
        <v>5.0293107453457226</v>
      </c>
      <c r="AZ60" s="229">
        <v>4.2049601417183347</v>
      </c>
      <c r="BA60" s="229">
        <v>0</v>
      </c>
      <c r="BB60" s="229">
        <v>0</v>
      </c>
      <c r="BC60" s="229">
        <v>0</v>
      </c>
      <c r="BD60" s="229">
        <v>0</v>
      </c>
      <c r="BE60" s="229">
        <v>5.0732312198018032</v>
      </c>
      <c r="BF60" s="230">
        <v>5.0600958928845001</v>
      </c>
      <c r="BG60" s="238">
        <f t="shared" ref="BG60:BG78" si="41">AVERAGE($B60:$BF60)</f>
        <v>1.5428866451475314</v>
      </c>
    </row>
    <row r="61" spans="1:59" x14ac:dyDescent="0.25">
      <c r="A61" s="215" t="s">
        <v>175</v>
      </c>
      <c r="B61" s="231">
        <v>0</v>
      </c>
      <c r="C61" s="231">
        <v>0</v>
      </c>
      <c r="D61" s="231">
        <v>0</v>
      </c>
      <c r="E61" s="231">
        <v>0</v>
      </c>
      <c r="F61" s="231">
        <v>0</v>
      </c>
      <c r="G61" s="231">
        <v>0</v>
      </c>
      <c r="H61" s="231">
        <v>0</v>
      </c>
      <c r="I61" s="231">
        <v>0</v>
      </c>
      <c r="J61" s="231">
        <v>0</v>
      </c>
      <c r="K61" s="231">
        <v>2.8963661735549633</v>
      </c>
      <c r="L61" s="231">
        <v>2.346816588785047</v>
      </c>
      <c r="M61" s="231">
        <v>0</v>
      </c>
      <c r="N61" s="231">
        <v>5.3480269381384389</v>
      </c>
      <c r="O61" s="231">
        <v>0</v>
      </c>
      <c r="P61" s="231">
        <v>3.1392722884941877</v>
      </c>
      <c r="Q61" s="231">
        <v>2.9944457565892875</v>
      </c>
      <c r="R61" s="231">
        <v>0</v>
      </c>
      <c r="S61" s="231">
        <v>0</v>
      </c>
      <c r="T61" s="231">
        <v>0</v>
      </c>
      <c r="U61" s="231">
        <v>3.1526391553061774</v>
      </c>
      <c r="V61" s="231">
        <v>0</v>
      </c>
      <c r="W61" s="231">
        <v>0</v>
      </c>
      <c r="X61" s="231">
        <v>0</v>
      </c>
      <c r="Y61" s="231">
        <v>3.0004755545553685</v>
      </c>
      <c r="Z61" s="231">
        <v>0</v>
      </c>
      <c r="AA61" s="231">
        <v>0</v>
      </c>
      <c r="AB61" s="231">
        <v>0</v>
      </c>
      <c r="AC61" s="231">
        <v>0</v>
      </c>
      <c r="AD61" s="231">
        <v>0</v>
      </c>
      <c r="AE61" s="231">
        <v>0</v>
      </c>
      <c r="AF61" s="231">
        <v>0</v>
      </c>
      <c r="AG61" s="231">
        <v>0</v>
      </c>
      <c r="AH61" s="231">
        <v>5.1798437499999999</v>
      </c>
      <c r="AI61" s="231">
        <v>0</v>
      </c>
      <c r="AJ61" s="231">
        <v>0</v>
      </c>
      <c r="AK61" s="231">
        <v>5.2877182510073117</v>
      </c>
      <c r="AL61" s="231">
        <v>0</v>
      </c>
      <c r="AM61" s="231">
        <v>0</v>
      </c>
      <c r="AN61" s="231">
        <v>0</v>
      </c>
      <c r="AO61" s="231">
        <v>0</v>
      </c>
      <c r="AP61" s="231">
        <v>0</v>
      </c>
      <c r="AQ61" s="231">
        <v>0</v>
      </c>
      <c r="AR61" s="231">
        <v>0</v>
      </c>
      <c r="AS61" s="231">
        <v>0</v>
      </c>
      <c r="AT61" s="231">
        <v>0</v>
      </c>
      <c r="AU61" s="231">
        <v>0</v>
      </c>
      <c r="AV61" s="231">
        <v>0</v>
      </c>
      <c r="AW61" s="231">
        <v>0</v>
      </c>
      <c r="AX61" s="231">
        <v>0</v>
      </c>
      <c r="AY61" s="231">
        <v>3.0088203920982663</v>
      </c>
      <c r="AZ61" s="231">
        <v>0</v>
      </c>
      <c r="BA61" s="231">
        <v>0</v>
      </c>
      <c r="BB61" s="231">
        <v>2.9771745888311125</v>
      </c>
      <c r="BC61" s="231">
        <v>0</v>
      </c>
      <c r="BD61" s="231">
        <v>0</v>
      </c>
      <c r="BE61" s="231">
        <v>0</v>
      </c>
      <c r="BF61" s="232">
        <v>0</v>
      </c>
      <c r="BG61" s="239">
        <f t="shared" si="41"/>
        <v>0.69002806030456421</v>
      </c>
    </row>
    <row r="62" spans="1:59" x14ac:dyDescent="0.25">
      <c r="A62" s="218" t="s">
        <v>173</v>
      </c>
      <c r="B62" s="229">
        <v>0</v>
      </c>
      <c r="C62" s="229">
        <v>0</v>
      </c>
      <c r="D62" s="229">
        <v>0</v>
      </c>
      <c r="E62" s="229">
        <v>0</v>
      </c>
      <c r="F62" s="229">
        <v>0</v>
      </c>
      <c r="G62" s="229">
        <v>0</v>
      </c>
      <c r="H62" s="229">
        <v>0</v>
      </c>
      <c r="I62" s="229">
        <v>0</v>
      </c>
      <c r="J62" s="229">
        <v>0</v>
      </c>
      <c r="K62" s="229">
        <v>0</v>
      </c>
      <c r="L62" s="229">
        <v>0</v>
      </c>
      <c r="M62" s="229">
        <v>0</v>
      </c>
      <c r="N62" s="229">
        <v>5.2422222222222219</v>
      </c>
      <c r="O62" s="229">
        <v>0</v>
      </c>
      <c r="P62" s="229">
        <v>2.8173219835157415</v>
      </c>
      <c r="Q62" s="229">
        <v>0</v>
      </c>
      <c r="R62" s="229">
        <v>0</v>
      </c>
      <c r="S62" s="229">
        <v>0</v>
      </c>
      <c r="T62" s="229">
        <v>0</v>
      </c>
      <c r="U62" s="229">
        <v>0</v>
      </c>
      <c r="V62" s="229">
        <v>0</v>
      </c>
      <c r="W62" s="229">
        <v>0</v>
      </c>
      <c r="X62" s="229">
        <v>0</v>
      </c>
      <c r="Y62" s="229">
        <v>1.5703382023950518</v>
      </c>
      <c r="Z62" s="229">
        <v>0</v>
      </c>
      <c r="AA62" s="229">
        <v>0</v>
      </c>
      <c r="AB62" s="229">
        <v>0</v>
      </c>
      <c r="AC62" s="229">
        <v>0</v>
      </c>
      <c r="AD62" s="229">
        <v>0</v>
      </c>
      <c r="AE62" s="229">
        <v>0</v>
      </c>
      <c r="AF62" s="229">
        <v>0</v>
      </c>
      <c r="AG62" s="229">
        <v>0</v>
      </c>
      <c r="AH62" s="229">
        <v>0</v>
      </c>
      <c r="AI62" s="229">
        <v>0</v>
      </c>
      <c r="AJ62" s="229">
        <v>0</v>
      </c>
      <c r="AK62" s="229">
        <v>0</v>
      </c>
      <c r="AL62" s="229">
        <v>0</v>
      </c>
      <c r="AM62" s="229">
        <v>0</v>
      </c>
      <c r="AN62" s="229">
        <v>0</v>
      </c>
      <c r="AO62" s="229">
        <v>0</v>
      </c>
      <c r="AP62" s="229">
        <v>0</v>
      </c>
      <c r="AQ62" s="229">
        <v>0</v>
      </c>
      <c r="AR62" s="229">
        <v>0</v>
      </c>
      <c r="AS62" s="229">
        <v>0</v>
      </c>
      <c r="AT62" s="229">
        <v>0</v>
      </c>
      <c r="AU62" s="229">
        <v>0</v>
      </c>
      <c r="AV62" s="229">
        <v>0</v>
      </c>
      <c r="AW62" s="229">
        <v>0</v>
      </c>
      <c r="AX62" s="229">
        <v>0</v>
      </c>
      <c r="AY62" s="229">
        <v>0</v>
      </c>
      <c r="AZ62" s="229">
        <v>0</v>
      </c>
      <c r="BA62" s="229">
        <v>0</v>
      </c>
      <c r="BB62" s="229">
        <v>0</v>
      </c>
      <c r="BC62" s="229">
        <v>0</v>
      </c>
      <c r="BD62" s="229">
        <v>0</v>
      </c>
      <c r="BE62" s="229">
        <v>0</v>
      </c>
      <c r="BF62" s="230">
        <v>0</v>
      </c>
      <c r="BG62" s="238">
        <f t="shared" si="41"/>
        <v>0.16894530540584238</v>
      </c>
    </row>
    <row r="63" spans="1:59" x14ac:dyDescent="0.25">
      <c r="A63" s="215" t="s">
        <v>177</v>
      </c>
      <c r="B63" s="231">
        <v>0</v>
      </c>
      <c r="C63" s="231">
        <v>0</v>
      </c>
      <c r="D63" s="231">
        <v>0</v>
      </c>
      <c r="E63" s="231">
        <v>0</v>
      </c>
      <c r="F63" s="231">
        <v>0</v>
      </c>
      <c r="G63" s="231">
        <v>1.8324277382780838</v>
      </c>
      <c r="H63" s="231">
        <v>3.1120382536004731</v>
      </c>
      <c r="I63" s="231">
        <v>0</v>
      </c>
      <c r="J63" s="231">
        <v>0</v>
      </c>
      <c r="K63" s="231">
        <v>2.7389338303022828</v>
      </c>
      <c r="L63" s="231">
        <v>1.8779386723735931</v>
      </c>
      <c r="M63" s="231">
        <v>0.23994460112812249</v>
      </c>
      <c r="N63" s="231">
        <v>2.742464881414135</v>
      </c>
      <c r="O63" s="231">
        <v>0</v>
      </c>
      <c r="P63" s="231">
        <v>3.3913322429101846</v>
      </c>
      <c r="Q63" s="231">
        <v>2.9799893755182008</v>
      </c>
      <c r="R63" s="231">
        <v>2.8601369863013697</v>
      </c>
      <c r="S63" s="231">
        <v>0</v>
      </c>
      <c r="T63" s="231">
        <v>1.3816676440414801</v>
      </c>
      <c r="U63" s="231">
        <v>2.5455706531002362</v>
      </c>
      <c r="V63" s="231">
        <v>0</v>
      </c>
      <c r="W63" s="231">
        <v>0</v>
      </c>
      <c r="X63" s="231">
        <v>0</v>
      </c>
      <c r="Y63" s="231">
        <v>2.5603033160802573</v>
      </c>
      <c r="Z63" s="231">
        <v>0</v>
      </c>
      <c r="AA63" s="231">
        <v>0</v>
      </c>
      <c r="AB63" s="231">
        <v>0</v>
      </c>
      <c r="AC63" s="231">
        <v>0</v>
      </c>
      <c r="AD63" s="231">
        <v>0</v>
      </c>
      <c r="AE63" s="231">
        <v>1.7612674973081064</v>
      </c>
      <c r="AF63" s="231">
        <v>3.0237150871095446</v>
      </c>
      <c r="AG63" s="231">
        <v>0</v>
      </c>
      <c r="AH63" s="231">
        <v>2.5899572094153522</v>
      </c>
      <c r="AI63" s="231">
        <v>2.8356436729666319</v>
      </c>
      <c r="AJ63" s="231">
        <v>2.0269230769230768</v>
      </c>
      <c r="AK63" s="231">
        <v>2.0111337252922183</v>
      </c>
      <c r="AL63" s="231">
        <v>1.9105882352941177</v>
      </c>
      <c r="AM63" s="231">
        <v>2.66011858580001</v>
      </c>
      <c r="AN63" s="231">
        <v>1.6375376524362224</v>
      </c>
      <c r="AO63" s="231">
        <v>0</v>
      </c>
      <c r="AP63" s="231">
        <v>1.3295619488145027</v>
      </c>
      <c r="AQ63" s="231">
        <v>1.3363392857142855</v>
      </c>
      <c r="AR63" s="231">
        <v>0</v>
      </c>
      <c r="AS63" s="231">
        <v>1.8274244302926288</v>
      </c>
      <c r="AT63" s="231">
        <v>0</v>
      </c>
      <c r="AU63" s="231">
        <v>0</v>
      </c>
      <c r="AV63" s="231">
        <v>2.750917741434368</v>
      </c>
      <c r="AW63" s="231">
        <v>1.6356976732659496</v>
      </c>
      <c r="AX63" s="231">
        <v>2.5241655391853812</v>
      </c>
      <c r="AY63" s="231">
        <v>2.6854077172761848</v>
      </c>
      <c r="AZ63" s="231">
        <v>1.9223608872579983</v>
      </c>
      <c r="BA63" s="231">
        <v>0</v>
      </c>
      <c r="BB63" s="231">
        <v>3.159332987947467</v>
      </c>
      <c r="BC63" s="231">
        <v>0</v>
      </c>
      <c r="BD63" s="231">
        <v>1.1517611248006958</v>
      </c>
      <c r="BE63" s="231">
        <v>2.6941657240057002</v>
      </c>
      <c r="BF63" s="232">
        <v>2.9531951891030284</v>
      </c>
      <c r="BG63" s="239">
        <f t="shared" si="41"/>
        <v>1.3103502313454718</v>
      </c>
    </row>
    <row r="64" spans="1:59" x14ac:dyDescent="0.25">
      <c r="A64" s="218" t="s">
        <v>169</v>
      </c>
      <c r="B64" s="229">
        <v>0</v>
      </c>
      <c r="C64" s="229">
        <v>0</v>
      </c>
      <c r="D64" s="229">
        <v>0</v>
      </c>
      <c r="E64" s="229">
        <v>1.5086774012657216</v>
      </c>
      <c r="F64" s="229">
        <v>0</v>
      </c>
      <c r="G64" s="229">
        <v>1.5477175000557502</v>
      </c>
      <c r="H64" s="229">
        <v>0</v>
      </c>
      <c r="I64" s="229">
        <v>0</v>
      </c>
      <c r="J64" s="229">
        <v>0</v>
      </c>
      <c r="K64" s="229">
        <v>2.1371081601949853</v>
      </c>
      <c r="L64" s="229">
        <v>1.5496374241642692</v>
      </c>
      <c r="M64" s="229">
        <v>0.62027045485589405</v>
      </c>
      <c r="N64" s="229">
        <v>2.5067164179104475</v>
      </c>
      <c r="O64" s="229">
        <v>0</v>
      </c>
      <c r="P64" s="229">
        <v>3.2632191119691116</v>
      </c>
      <c r="Q64" s="229">
        <v>2.7843163019780395</v>
      </c>
      <c r="R64" s="229">
        <v>2.1584931506849316</v>
      </c>
      <c r="S64" s="229">
        <v>0</v>
      </c>
      <c r="T64" s="229">
        <v>0</v>
      </c>
      <c r="U64" s="229">
        <v>0</v>
      </c>
      <c r="V64" s="229">
        <v>0</v>
      </c>
      <c r="W64" s="229">
        <v>0</v>
      </c>
      <c r="X64" s="229">
        <v>0</v>
      </c>
      <c r="Y64" s="229">
        <v>2.3741229306488996</v>
      </c>
      <c r="Z64" s="229">
        <v>1.852987012987013</v>
      </c>
      <c r="AA64" s="229">
        <v>0</v>
      </c>
      <c r="AB64" s="229">
        <v>1.3750484664591696</v>
      </c>
      <c r="AC64" s="229">
        <v>0</v>
      </c>
      <c r="AD64" s="229">
        <v>0</v>
      </c>
      <c r="AE64" s="229">
        <v>1.4613941856830259</v>
      </c>
      <c r="AF64" s="229">
        <v>0</v>
      </c>
      <c r="AG64" s="229">
        <v>0</v>
      </c>
      <c r="AH64" s="229">
        <v>2.1437423991155335</v>
      </c>
      <c r="AI64" s="229">
        <v>2.5580300488895826</v>
      </c>
      <c r="AJ64" s="229">
        <v>0</v>
      </c>
      <c r="AK64" s="229">
        <v>0</v>
      </c>
      <c r="AL64" s="229">
        <v>1.5464615384615383</v>
      </c>
      <c r="AM64" s="229">
        <v>2.3261702906832311</v>
      </c>
      <c r="AN64" s="229">
        <v>1.4333969509494437</v>
      </c>
      <c r="AO64" s="229">
        <v>0.6507398246209346</v>
      </c>
      <c r="AP64" s="229">
        <v>1.1368722810741327</v>
      </c>
      <c r="AQ64" s="229">
        <v>0</v>
      </c>
      <c r="AR64" s="229">
        <v>0</v>
      </c>
      <c r="AS64" s="229">
        <v>0</v>
      </c>
      <c r="AT64" s="229">
        <v>0</v>
      </c>
      <c r="AU64" s="229">
        <v>0</v>
      </c>
      <c r="AV64" s="229">
        <v>2.3245087254133425</v>
      </c>
      <c r="AW64" s="229">
        <v>0</v>
      </c>
      <c r="AX64" s="229">
        <v>2.3946338496632817</v>
      </c>
      <c r="AY64" s="229">
        <v>2.306114068030507</v>
      </c>
      <c r="AZ64" s="229">
        <v>1.5805563205728448</v>
      </c>
      <c r="BA64" s="229">
        <v>0</v>
      </c>
      <c r="BB64" s="229">
        <v>3.0711216088698778</v>
      </c>
      <c r="BC64" s="229">
        <v>0</v>
      </c>
      <c r="BD64" s="229">
        <v>1.1008971907633478</v>
      </c>
      <c r="BE64" s="229">
        <v>2.30659462915601</v>
      </c>
      <c r="BF64" s="230">
        <v>2.3101470588235293</v>
      </c>
      <c r="BG64" s="238">
        <f t="shared" si="41"/>
        <v>0.95315254919200709</v>
      </c>
    </row>
    <row r="65" spans="1:59" x14ac:dyDescent="0.25">
      <c r="A65" s="215" t="s">
        <v>201</v>
      </c>
      <c r="B65" s="231">
        <v>0</v>
      </c>
      <c r="C65" s="231">
        <v>0</v>
      </c>
      <c r="D65" s="231">
        <v>0</v>
      </c>
      <c r="E65" s="231">
        <v>0.87638236149483473</v>
      </c>
      <c r="F65" s="231">
        <v>0</v>
      </c>
      <c r="G65" s="231">
        <v>0.67790250829272902</v>
      </c>
      <c r="H65" s="231">
        <v>1.2083333333333333</v>
      </c>
      <c r="I65" s="231">
        <v>0</v>
      </c>
      <c r="J65" s="231">
        <v>0</v>
      </c>
      <c r="K65" s="231">
        <v>2.0930950000000004</v>
      </c>
      <c r="L65" s="231">
        <v>0.79077091606189254</v>
      </c>
      <c r="M65" s="231">
        <v>0</v>
      </c>
      <c r="N65" s="231">
        <v>3.6570588235294119</v>
      </c>
      <c r="O65" s="231">
        <v>0</v>
      </c>
      <c r="P65" s="231">
        <v>2.5372545454545454</v>
      </c>
      <c r="Q65" s="231">
        <v>2.3897645833333336</v>
      </c>
      <c r="R65" s="231">
        <v>0</v>
      </c>
      <c r="S65" s="231">
        <v>2.2770588235294116</v>
      </c>
      <c r="T65" s="231">
        <v>0</v>
      </c>
      <c r="U65" s="231">
        <v>2.1040999999999999</v>
      </c>
      <c r="V65" s="231">
        <v>0</v>
      </c>
      <c r="W65" s="231">
        <v>0</v>
      </c>
      <c r="X65" s="231">
        <v>0</v>
      </c>
      <c r="Y65" s="231">
        <v>2.2374999999999998</v>
      </c>
      <c r="Z65" s="231">
        <v>0</v>
      </c>
      <c r="AA65" s="231">
        <v>0</v>
      </c>
      <c r="AB65" s="231">
        <v>2.0916135483064617</v>
      </c>
      <c r="AC65" s="231">
        <v>0</v>
      </c>
      <c r="AD65" s="231">
        <v>0</v>
      </c>
      <c r="AE65" s="231">
        <v>0</v>
      </c>
      <c r="AF65" s="231">
        <v>0</v>
      </c>
      <c r="AG65" s="231">
        <v>0</v>
      </c>
      <c r="AH65" s="231">
        <v>0</v>
      </c>
      <c r="AI65" s="231">
        <v>0.85008556531506541</v>
      </c>
      <c r="AJ65" s="231">
        <v>0</v>
      </c>
      <c r="AK65" s="231">
        <v>0</v>
      </c>
      <c r="AL65" s="231">
        <v>0</v>
      </c>
      <c r="AM65" s="231">
        <v>1.3717637591000182</v>
      </c>
      <c r="AN65" s="231">
        <v>2.387382352941176</v>
      </c>
      <c r="AO65" s="231">
        <v>0</v>
      </c>
      <c r="AP65" s="231">
        <v>0</v>
      </c>
      <c r="AQ65" s="231">
        <v>0</v>
      </c>
      <c r="AR65" s="231">
        <v>0</v>
      </c>
      <c r="AS65" s="231">
        <v>0</v>
      </c>
      <c r="AT65" s="231">
        <v>0</v>
      </c>
      <c r="AU65" s="231">
        <v>0</v>
      </c>
      <c r="AV65" s="231">
        <v>0.85225763895579465</v>
      </c>
      <c r="AW65" s="231">
        <v>0</v>
      </c>
      <c r="AX65" s="231">
        <v>2.0074999999999998</v>
      </c>
      <c r="AY65" s="231">
        <v>0.87764349369612549</v>
      </c>
      <c r="AZ65" s="231">
        <v>0.9042631821655347</v>
      </c>
      <c r="BA65" s="231">
        <v>0</v>
      </c>
      <c r="BB65" s="231">
        <v>0</v>
      </c>
      <c r="BC65" s="231">
        <v>0</v>
      </c>
      <c r="BD65" s="231">
        <v>0</v>
      </c>
      <c r="BE65" s="231">
        <v>0.77948141336653265</v>
      </c>
      <c r="BF65" s="232">
        <v>0.65427509293680297</v>
      </c>
      <c r="BG65" s="239">
        <f t="shared" si="41"/>
        <v>0.58992082354057895</v>
      </c>
    </row>
    <row r="66" spans="1:59" x14ac:dyDescent="0.25">
      <c r="A66" s="218" t="s">
        <v>189</v>
      </c>
      <c r="B66" s="229">
        <v>0</v>
      </c>
      <c r="C66" s="229">
        <v>0</v>
      </c>
      <c r="D66" s="229">
        <v>2.7036871174802206</v>
      </c>
      <c r="E66" s="229">
        <v>1.6602247908541425</v>
      </c>
      <c r="F66" s="229">
        <v>1.5176000000000001</v>
      </c>
      <c r="G66" s="229">
        <v>1.4658149809748535</v>
      </c>
      <c r="H66" s="229">
        <v>2.7011764705882353</v>
      </c>
      <c r="I66" s="229">
        <v>0</v>
      </c>
      <c r="J66" s="229">
        <v>0</v>
      </c>
      <c r="K66" s="229">
        <v>2.5375807021675669</v>
      </c>
      <c r="L66" s="229">
        <v>1.5140863657953278</v>
      </c>
      <c r="M66" s="229">
        <v>0.498533663635219</v>
      </c>
      <c r="N66" s="229">
        <v>2.8382714012496533</v>
      </c>
      <c r="O66" s="229">
        <v>2.625</v>
      </c>
      <c r="P66" s="229">
        <v>2.8709938807224349</v>
      </c>
      <c r="Q66" s="229">
        <v>2.494035814208206</v>
      </c>
      <c r="R66" s="229">
        <v>0</v>
      </c>
      <c r="S66" s="229">
        <v>1.647218969197783</v>
      </c>
      <c r="T66" s="229">
        <v>2.6254469141746468</v>
      </c>
      <c r="U66" s="229">
        <v>2.5193712289615755</v>
      </c>
      <c r="V66" s="229">
        <v>0</v>
      </c>
      <c r="W66" s="229">
        <v>2.0934246575342468</v>
      </c>
      <c r="X66" s="229">
        <v>0</v>
      </c>
      <c r="Y66" s="229">
        <v>2.5790929306531054</v>
      </c>
      <c r="Z66" s="229">
        <v>2.0908597039250307</v>
      </c>
      <c r="AA66" s="229">
        <v>2.508923076923077</v>
      </c>
      <c r="AB66" s="229">
        <v>0</v>
      </c>
      <c r="AC66" s="229">
        <v>0</v>
      </c>
      <c r="AD66" s="229">
        <v>0</v>
      </c>
      <c r="AE66" s="229">
        <v>1.5183823529411764</v>
      </c>
      <c r="AF66" s="229">
        <v>2.6473529411764702</v>
      </c>
      <c r="AG66" s="229">
        <v>0</v>
      </c>
      <c r="AH66" s="229">
        <v>2.3462715150825075</v>
      </c>
      <c r="AI66" s="229">
        <v>2.6683593344789309</v>
      </c>
      <c r="AJ66" s="229">
        <v>1.9405234195696668</v>
      </c>
      <c r="AK66" s="229">
        <v>2.1951964061088853</v>
      </c>
      <c r="AL66" s="229">
        <v>1.9973794731004817</v>
      </c>
      <c r="AM66" s="229">
        <v>3.2562419576732751</v>
      </c>
      <c r="AN66" s="229">
        <v>1.8084669132757911</v>
      </c>
      <c r="AO66" s="229">
        <v>0</v>
      </c>
      <c r="AP66" s="229">
        <v>3.0001765480895917</v>
      </c>
      <c r="AQ66" s="229">
        <v>0</v>
      </c>
      <c r="AR66" s="229">
        <v>0</v>
      </c>
      <c r="AS66" s="229">
        <v>1.3555053419096486</v>
      </c>
      <c r="AT66" s="229">
        <v>0</v>
      </c>
      <c r="AU66" s="229">
        <v>0</v>
      </c>
      <c r="AV66" s="229">
        <v>2.3016880077161064</v>
      </c>
      <c r="AW66" s="229">
        <v>1.993920513762395</v>
      </c>
      <c r="AX66" s="229">
        <v>2.5037401465393754</v>
      </c>
      <c r="AY66" s="229">
        <v>2.3101485264727555</v>
      </c>
      <c r="AZ66" s="229">
        <v>1.6560842454700808</v>
      </c>
      <c r="BA66" s="229">
        <v>0</v>
      </c>
      <c r="BB66" s="229">
        <v>2.8053375790299504</v>
      </c>
      <c r="BC66" s="229">
        <v>0</v>
      </c>
      <c r="BD66" s="229">
        <v>2.0968573279191207</v>
      </c>
      <c r="BE66" s="229">
        <v>2.3347739201280642</v>
      </c>
      <c r="BF66" s="230">
        <v>2.6062598039215681</v>
      </c>
      <c r="BG66" s="238">
        <f t="shared" si="41"/>
        <v>1.5234036656738803</v>
      </c>
    </row>
    <row r="67" spans="1:59" x14ac:dyDescent="0.25">
      <c r="A67" s="215" t="s">
        <v>194</v>
      </c>
      <c r="B67" s="231">
        <v>5.5664101114950526</v>
      </c>
      <c r="C67" s="231">
        <v>3.9794827586206898</v>
      </c>
      <c r="D67" s="231">
        <v>3.5114492753623185</v>
      </c>
      <c r="E67" s="231">
        <v>3.1515814123411117</v>
      </c>
      <c r="F67" s="231">
        <v>3.5194202898550726</v>
      </c>
      <c r="G67" s="231">
        <v>3.5125478611269889</v>
      </c>
      <c r="H67" s="231">
        <v>5.5875755495737272</v>
      </c>
      <c r="I67" s="231">
        <v>0</v>
      </c>
      <c r="J67" s="231">
        <v>0</v>
      </c>
      <c r="K67" s="231">
        <v>4.5897775901885325</v>
      </c>
      <c r="L67" s="231">
        <v>3.3493912682824689</v>
      </c>
      <c r="M67" s="231">
        <v>0.72404318580962423</v>
      </c>
      <c r="N67" s="231">
        <v>7.1041179615090098</v>
      </c>
      <c r="O67" s="231">
        <v>6.8464570799745541</v>
      </c>
      <c r="P67" s="231">
        <v>5.0822810342642208</v>
      </c>
      <c r="Q67" s="231">
        <v>4.9451373573110819</v>
      </c>
      <c r="R67" s="231">
        <v>4.6218840579710143</v>
      </c>
      <c r="S67" s="231">
        <v>3.110529126338303</v>
      </c>
      <c r="T67" s="231">
        <v>7.2620588385622575</v>
      </c>
      <c r="U67" s="231">
        <v>4.3181803492143249</v>
      </c>
      <c r="V67" s="231">
        <v>0</v>
      </c>
      <c r="W67" s="231">
        <v>0</v>
      </c>
      <c r="X67" s="231">
        <v>0</v>
      </c>
      <c r="Y67" s="231">
        <v>4.6503573594290923</v>
      </c>
      <c r="Z67" s="231">
        <v>2.9348562323056218</v>
      </c>
      <c r="AA67" s="231">
        <v>6.2537945674069135</v>
      </c>
      <c r="AB67" s="231">
        <v>3.5605919210771892</v>
      </c>
      <c r="AC67" s="231">
        <v>0</v>
      </c>
      <c r="AD67" s="231">
        <v>0</v>
      </c>
      <c r="AE67" s="231">
        <v>0</v>
      </c>
      <c r="AF67" s="231">
        <v>5.0032352941176468</v>
      </c>
      <c r="AG67" s="231">
        <v>2.4480198019801982</v>
      </c>
      <c r="AH67" s="231">
        <v>6.6383540912774954</v>
      </c>
      <c r="AI67" s="231">
        <v>4.7984541872823891</v>
      </c>
      <c r="AJ67" s="231">
        <v>2.5104109589041093</v>
      </c>
      <c r="AK67" s="231">
        <v>7.3889218911089278</v>
      </c>
      <c r="AL67" s="231">
        <v>5.6800000000000006</v>
      </c>
      <c r="AM67" s="231">
        <v>5.2847277885581105</v>
      </c>
      <c r="AN67" s="231">
        <v>5.3578659830919371</v>
      </c>
      <c r="AO67" s="231">
        <v>0</v>
      </c>
      <c r="AP67" s="231">
        <v>5.6558081950729004</v>
      </c>
      <c r="AQ67" s="231">
        <v>2.5496763692467725</v>
      </c>
      <c r="AR67" s="231">
        <v>0</v>
      </c>
      <c r="AS67" s="231">
        <v>2.4797975547470292</v>
      </c>
      <c r="AT67" s="231">
        <v>3.1283158908451414</v>
      </c>
      <c r="AU67" s="231">
        <v>2.8821676084964278</v>
      </c>
      <c r="AV67" s="231">
        <v>4.5439897691345719</v>
      </c>
      <c r="AW67" s="231">
        <v>0</v>
      </c>
      <c r="AX67" s="231">
        <v>4.5724990577691749</v>
      </c>
      <c r="AY67" s="231">
        <v>4.6713413700797908</v>
      </c>
      <c r="AZ67" s="231">
        <v>3.2850829955001064</v>
      </c>
      <c r="BA67" s="231">
        <v>2.8919092191306572</v>
      </c>
      <c r="BB67" s="231">
        <v>5.1255246787547071</v>
      </c>
      <c r="BC67" s="231">
        <v>0</v>
      </c>
      <c r="BD67" s="231">
        <v>5.8027304653204563</v>
      </c>
      <c r="BE67" s="231">
        <v>4.6225682054299639</v>
      </c>
      <c r="BF67" s="232">
        <v>4.3711764705882352</v>
      </c>
      <c r="BG67" s="239">
        <f t="shared" si="41"/>
        <v>3.5065702286746649</v>
      </c>
    </row>
    <row r="68" spans="1:59" x14ac:dyDescent="0.25">
      <c r="A68" s="218" t="s">
        <v>180</v>
      </c>
      <c r="B68" s="229">
        <v>4.1508068132675593</v>
      </c>
      <c r="C68" s="229">
        <v>4.1910526315789474</v>
      </c>
      <c r="D68" s="229">
        <v>3.7535557345894404</v>
      </c>
      <c r="E68" s="229">
        <v>3.4467266022940102</v>
      </c>
      <c r="F68" s="229">
        <v>3.477849623818277</v>
      </c>
      <c r="G68" s="229">
        <v>4.0338780774637018</v>
      </c>
      <c r="H68" s="229">
        <v>5.9047215629038963</v>
      </c>
      <c r="I68" s="229">
        <v>0.58635826497965671</v>
      </c>
      <c r="J68" s="229">
        <v>3.2415139707117482</v>
      </c>
      <c r="K68" s="229">
        <v>4.7063109300333856</v>
      </c>
      <c r="L68" s="229">
        <v>4.5882712196454536</v>
      </c>
      <c r="M68" s="229">
        <v>0.93740093298674954</v>
      </c>
      <c r="N68" s="229">
        <v>5.7174761182479497</v>
      </c>
      <c r="O68" s="229">
        <v>6.0209933001398479</v>
      </c>
      <c r="P68" s="229">
        <v>4.6083477120938134</v>
      </c>
      <c r="Q68" s="229">
        <v>4.6990857712709477</v>
      </c>
      <c r="R68" s="229">
        <v>5.0381988909002731</v>
      </c>
      <c r="S68" s="229">
        <v>3.5474697862491515</v>
      </c>
      <c r="T68" s="229">
        <v>4.4960189564294657</v>
      </c>
      <c r="U68" s="229">
        <v>4.2077482876712331</v>
      </c>
      <c r="V68" s="229">
        <v>3.8372874546045859</v>
      </c>
      <c r="W68" s="229">
        <v>3.7189745034511903</v>
      </c>
      <c r="X68" s="229">
        <v>3.4596250097010195</v>
      </c>
      <c r="Y68" s="229">
        <v>4.5730713883100735</v>
      </c>
      <c r="Z68" s="229">
        <v>3.1384258945703776</v>
      </c>
      <c r="AA68" s="229">
        <v>4.8125883196330781</v>
      </c>
      <c r="AB68" s="229">
        <v>2.8899011525587639</v>
      </c>
      <c r="AC68" s="229">
        <v>3.6208356542255018</v>
      </c>
      <c r="AD68" s="229">
        <v>3.9593914781493691</v>
      </c>
      <c r="AE68" s="229">
        <v>4.0730769230769228</v>
      </c>
      <c r="AF68" s="229">
        <v>4.6694130814217019</v>
      </c>
      <c r="AG68" s="229">
        <v>2.7415023080151069</v>
      </c>
      <c r="AH68" s="229">
        <v>5.5726256920397743</v>
      </c>
      <c r="AI68" s="229">
        <v>5.269558491364057</v>
      </c>
      <c r="AJ68" s="229">
        <v>2.8280705944782198</v>
      </c>
      <c r="AK68" s="229">
        <v>5.6183859907186973</v>
      </c>
      <c r="AL68" s="229">
        <v>4.8914285714285715</v>
      </c>
      <c r="AM68" s="229">
        <v>5.1392641692713488</v>
      </c>
      <c r="AN68" s="229">
        <v>3.813352048517864</v>
      </c>
      <c r="AO68" s="229">
        <v>2.1235955056179776</v>
      </c>
      <c r="AP68" s="229">
        <v>3.5026750522476169</v>
      </c>
      <c r="AQ68" s="229">
        <v>2.9071560501723552</v>
      </c>
      <c r="AR68" s="229">
        <v>2.0189927602799651</v>
      </c>
      <c r="AS68" s="229">
        <v>3.0069165577117367</v>
      </c>
      <c r="AT68" s="229">
        <v>4.009747063481961</v>
      </c>
      <c r="AU68" s="229">
        <v>3.2284987015779318</v>
      </c>
      <c r="AV68" s="229">
        <v>5.0661857497930409</v>
      </c>
      <c r="AW68" s="229">
        <v>3.6115397251961676</v>
      </c>
      <c r="AX68" s="229">
        <v>4.5237707622257677</v>
      </c>
      <c r="AY68" s="229">
        <v>4.8919357243072605</v>
      </c>
      <c r="AZ68" s="229">
        <v>3.5576056689692366</v>
      </c>
      <c r="BA68" s="229">
        <v>2.937716228140788</v>
      </c>
      <c r="BB68" s="229">
        <v>4.9584922772563154</v>
      </c>
      <c r="BC68" s="229">
        <v>3.820786340274239</v>
      </c>
      <c r="BD68" s="229">
        <v>3.517758401934143</v>
      </c>
      <c r="BE68" s="229">
        <v>5.0287499126141979</v>
      </c>
      <c r="BF68" s="230">
        <v>4.7247899614538946</v>
      </c>
      <c r="BG68" s="238">
        <f t="shared" si="41"/>
        <v>3.989780286948533</v>
      </c>
    </row>
    <row r="69" spans="1:59" x14ac:dyDescent="0.25">
      <c r="A69" s="215" t="s">
        <v>191</v>
      </c>
      <c r="B69" s="231">
        <v>0</v>
      </c>
      <c r="C69" s="231">
        <v>0</v>
      </c>
      <c r="D69" s="231">
        <v>0</v>
      </c>
      <c r="E69" s="231">
        <v>0</v>
      </c>
      <c r="F69" s="231">
        <v>0</v>
      </c>
      <c r="G69" s="231">
        <v>1.8146063193481048</v>
      </c>
      <c r="H69" s="231">
        <v>3.1833934258128647</v>
      </c>
      <c r="I69" s="231">
        <v>0</v>
      </c>
      <c r="J69" s="231">
        <v>0</v>
      </c>
      <c r="K69" s="231">
        <v>2.1489730009391668</v>
      </c>
      <c r="L69" s="231">
        <v>1.9098740029972689</v>
      </c>
      <c r="M69" s="231">
        <v>0</v>
      </c>
      <c r="N69" s="231">
        <v>0</v>
      </c>
      <c r="O69" s="231">
        <v>0</v>
      </c>
      <c r="P69" s="231">
        <v>2.9607125826493728</v>
      </c>
      <c r="Q69" s="231">
        <v>2.5925829179679716</v>
      </c>
      <c r="R69" s="231">
        <v>0</v>
      </c>
      <c r="S69" s="231">
        <v>0</v>
      </c>
      <c r="T69" s="231">
        <v>0</v>
      </c>
      <c r="U69" s="231">
        <v>2.52083485958486</v>
      </c>
      <c r="V69" s="231">
        <v>0</v>
      </c>
      <c r="W69" s="231">
        <v>0</v>
      </c>
      <c r="X69" s="231">
        <v>0</v>
      </c>
      <c r="Y69" s="231">
        <v>2.4479665448847094</v>
      </c>
      <c r="Z69" s="231">
        <v>0</v>
      </c>
      <c r="AA69" s="231">
        <v>0</v>
      </c>
      <c r="AB69" s="231">
        <v>0</v>
      </c>
      <c r="AC69" s="231">
        <v>0</v>
      </c>
      <c r="AD69" s="231">
        <v>0</v>
      </c>
      <c r="AE69" s="231">
        <v>0</v>
      </c>
      <c r="AF69" s="231">
        <v>0</v>
      </c>
      <c r="AG69" s="231">
        <v>0</v>
      </c>
      <c r="AH69" s="231">
        <v>0</v>
      </c>
      <c r="AI69" s="231">
        <v>2.9422710299857964</v>
      </c>
      <c r="AJ69" s="231">
        <v>1.5943542754209252</v>
      </c>
      <c r="AK69" s="231">
        <v>0</v>
      </c>
      <c r="AL69" s="231">
        <v>2.3307692307692305</v>
      </c>
      <c r="AM69" s="231">
        <v>2.8444940342754919</v>
      </c>
      <c r="AN69" s="231">
        <v>0</v>
      </c>
      <c r="AO69" s="231">
        <v>0</v>
      </c>
      <c r="AP69" s="231">
        <v>0</v>
      </c>
      <c r="AQ69" s="231">
        <v>1.9833580161255584</v>
      </c>
      <c r="AR69" s="231">
        <v>0</v>
      </c>
      <c r="AS69" s="231">
        <v>0</v>
      </c>
      <c r="AT69" s="231">
        <v>0</v>
      </c>
      <c r="AU69" s="231">
        <v>0</v>
      </c>
      <c r="AV69" s="231">
        <v>2.6214832973347177</v>
      </c>
      <c r="AW69" s="231">
        <v>0</v>
      </c>
      <c r="AX69" s="231">
        <v>2.3332991039329847</v>
      </c>
      <c r="AY69" s="231">
        <v>2.7507581352770929</v>
      </c>
      <c r="AZ69" s="231">
        <v>0</v>
      </c>
      <c r="BA69" s="231">
        <v>0</v>
      </c>
      <c r="BB69" s="231">
        <v>2.6062542703372014</v>
      </c>
      <c r="BC69" s="231">
        <v>0</v>
      </c>
      <c r="BD69" s="231">
        <v>1.8738581992170507</v>
      </c>
      <c r="BE69" s="231">
        <v>2.6654331380670029</v>
      </c>
      <c r="BF69" s="232">
        <v>0</v>
      </c>
      <c r="BG69" s="239">
        <f t="shared" si="41"/>
        <v>0.80921537517416464</v>
      </c>
    </row>
    <row r="70" spans="1:59" x14ac:dyDescent="0.25">
      <c r="A70" s="218" t="s">
        <v>184</v>
      </c>
      <c r="B70" s="229">
        <v>0</v>
      </c>
      <c r="C70" s="229">
        <v>0</v>
      </c>
      <c r="D70" s="229">
        <v>0</v>
      </c>
      <c r="E70" s="229">
        <v>0</v>
      </c>
      <c r="F70" s="229">
        <v>0</v>
      </c>
      <c r="G70" s="229">
        <v>0</v>
      </c>
      <c r="H70" s="229">
        <v>0</v>
      </c>
      <c r="I70" s="229">
        <v>0</v>
      </c>
      <c r="J70" s="229">
        <v>0</v>
      </c>
      <c r="K70" s="229">
        <v>1.7016292544948928</v>
      </c>
      <c r="L70" s="229">
        <v>0</v>
      </c>
      <c r="M70" s="229">
        <v>0</v>
      </c>
      <c r="N70" s="229">
        <v>3.024261138067931</v>
      </c>
      <c r="O70" s="229">
        <v>0</v>
      </c>
      <c r="P70" s="229">
        <v>2.2746365440935179</v>
      </c>
      <c r="Q70" s="229">
        <v>1.9275616138029932</v>
      </c>
      <c r="R70" s="229">
        <v>0</v>
      </c>
      <c r="S70" s="229">
        <v>0</v>
      </c>
      <c r="T70" s="229">
        <v>0</v>
      </c>
      <c r="U70" s="229">
        <v>1.6053424657534245</v>
      </c>
      <c r="V70" s="229">
        <v>0</v>
      </c>
      <c r="W70" s="229">
        <v>0</v>
      </c>
      <c r="X70" s="229">
        <v>0</v>
      </c>
      <c r="Y70" s="229">
        <v>1.6680651875149519</v>
      </c>
      <c r="Z70" s="229">
        <v>0</v>
      </c>
      <c r="AA70" s="229">
        <v>0</v>
      </c>
      <c r="AB70" s="229">
        <v>1.3210178944000202</v>
      </c>
      <c r="AC70" s="229">
        <v>0</v>
      </c>
      <c r="AD70" s="229">
        <v>0</v>
      </c>
      <c r="AE70" s="229">
        <v>1.7797142857142858</v>
      </c>
      <c r="AF70" s="229">
        <v>0</v>
      </c>
      <c r="AG70" s="229">
        <v>0</v>
      </c>
      <c r="AH70" s="229">
        <v>2.5781615155552453</v>
      </c>
      <c r="AI70" s="229">
        <v>2.737174690551873</v>
      </c>
      <c r="AJ70" s="229">
        <v>1.3528892809880899</v>
      </c>
      <c r="AK70" s="229">
        <v>1.9821428571428572</v>
      </c>
      <c r="AL70" s="229">
        <v>2.575441176470588</v>
      </c>
      <c r="AM70" s="229">
        <v>2.1748905120272788</v>
      </c>
      <c r="AN70" s="229">
        <v>1.946968100673105</v>
      </c>
      <c r="AO70" s="229">
        <v>0</v>
      </c>
      <c r="AP70" s="229">
        <v>1.9982721969666488</v>
      </c>
      <c r="AQ70" s="229">
        <v>1.2937426010669406</v>
      </c>
      <c r="AR70" s="229">
        <v>0</v>
      </c>
      <c r="AS70" s="229">
        <v>0</v>
      </c>
      <c r="AT70" s="229">
        <v>0</v>
      </c>
      <c r="AU70" s="229">
        <v>0</v>
      </c>
      <c r="AV70" s="229">
        <v>0</v>
      </c>
      <c r="AW70" s="229">
        <v>0</v>
      </c>
      <c r="AX70" s="229">
        <v>1.6251372194550835</v>
      </c>
      <c r="AY70" s="229">
        <v>0</v>
      </c>
      <c r="AZ70" s="229">
        <v>0</v>
      </c>
      <c r="BA70" s="229">
        <v>0</v>
      </c>
      <c r="BB70" s="229">
        <v>1.8678571428571433</v>
      </c>
      <c r="BC70" s="229">
        <v>0</v>
      </c>
      <c r="BD70" s="229">
        <v>1.6222535211267606</v>
      </c>
      <c r="BE70" s="229">
        <v>2.481653774177869</v>
      </c>
      <c r="BF70" s="230">
        <v>0</v>
      </c>
      <c r="BG70" s="238">
        <f t="shared" si="41"/>
        <v>0.72875110478774541</v>
      </c>
    </row>
    <row r="71" spans="1:59" x14ac:dyDescent="0.25">
      <c r="A71" s="215" t="s">
        <v>190</v>
      </c>
      <c r="B71" s="231">
        <v>0</v>
      </c>
      <c r="C71" s="231">
        <v>0</v>
      </c>
      <c r="D71" s="231">
        <v>0</v>
      </c>
      <c r="E71" s="231">
        <v>0.98373438392124801</v>
      </c>
      <c r="F71" s="231">
        <v>0</v>
      </c>
      <c r="G71" s="231">
        <v>0.95411310836640295</v>
      </c>
      <c r="H71" s="231">
        <v>0</v>
      </c>
      <c r="I71" s="231">
        <v>0</v>
      </c>
      <c r="J71" s="231">
        <v>0</v>
      </c>
      <c r="K71" s="231">
        <v>1.6853026878874933</v>
      </c>
      <c r="L71" s="231">
        <v>0.97711340433038885</v>
      </c>
      <c r="M71" s="231">
        <v>6.2281540367453744E-2</v>
      </c>
      <c r="N71" s="231">
        <v>3.1577101972743407</v>
      </c>
      <c r="O71" s="231">
        <v>0</v>
      </c>
      <c r="P71" s="231">
        <v>2.2111525590325214</v>
      </c>
      <c r="Q71" s="231">
        <v>1.8335759590548553</v>
      </c>
      <c r="R71" s="231">
        <v>0.83780821917808224</v>
      </c>
      <c r="S71" s="231">
        <v>0</v>
      </c>
      <c r="T71" s="231">
        <v>2.0587243222758986</v>
      </c>
      <c r="U71" s="231">
        <v>1.6053521540949858</v>
      </c>
      <c r="V71" s="231">
        <v>0</v>
      </c>
      <c r="W71" s="231">
        <v>0</v>
      </c>
      <c r="X71" s="231">
        <v>0</v>
      </c>
      <c r="Y71" s="231">
        <v>1.7265080071678489</v>
      </c>
      <c r="Z71" s="231">
        <v>0</v>
      </c>
      <c r="AA71" s="231">
        <v>0</v>
      </c>
      <c r="AB71" s="231">
        <v>0.32036525006650174</v>
      </c>
      <c r="AC71" s="231">
        <v>0</v>
      </c>
      <c r="AD71" s="231">
        <v>0</v>
      </c>
      <c r="AE71" s="231">
        <v>1.3666093217127702</v>
      </c>
      <c r="AF71" s="231">
        <v>0</v>
      </c>
      <c r="AG71" s="231">
        <v>0</v>
      </c>
      <c r="AH71" s="231">
        <v>2.5476110083068817</v>
      </c>
      <c r="AI71" s="231">
        <v>1.8911192247982584</v>
      </c>
      <c r="AJ71" s="231">
        <v>0.29215384615384615</v>
      </c>
      <c r="AK71" s="231">
        <v>1.4742562722253012</v>
      </c>
      <c r="AL71" s="231">
        <v>1.3897142857142859</v>
      </c>
      <c r="AM71" s="231">
        <v>1.8729406263444646</v>
      </c>
      <c r="AN71" s="231">
        <v>0.90528560543911674</v>
      </c>
      <c r="AO71" s="231">
        <v>0.27918028329937777</v>
      </c>
      <c r="AP71" s="231">
        <v>1.0784787182867424</v>
      </c>
      <c r="AQ71" s="231">
        <v>1.111732683982684</v>
      </c>
      <c r="AR71" s="231">
        <v>0.16337278721495932</v>
      </c>
      <c r="AS71" s="231">
        <v>1.0424875036753896</v>
      </c>
      <c r="AT71" s="231">
        <v>0</v>
      </c>
      <c r="AU71" s="231">
        <v>1.2786301369863013</v>
      </c>
      <c r="AV71" s="231">
        <v>1.6293278014375532</v>
      </c>
      <c r="AW71" s="231">
        <v>0.43585214322263843</v>
      </c>
      <c r="AX71" s="231">
        <v>1.6164642170435317</v>
      </c>
      <c r="AY71" s="231">
        <v>1.6512245121593421</v>
      </c>
      <c r="AZ71" s="231">
        <v>1.0603834286542897</v>
      </c>
      <c r="BA71" s="231">
        <v>0</v>
      </c>
      <c r="BB71" s="231">
        <v>1.9850394099120874</v>
      </c>
      <c r="BC71" s="231">
        <v>0</v>
      </c>
      <c r="BD71" s="231">
        <v>1.1681159420289857</v>
      </c>
      <c r="BE71" s="231">
        <v>1.6461527339243411</v>
      </c>
      <c r="BF71" s="232">
        <v>1.6752238805970148</v>
      </c>
      <c r="BG71" s="239">
        <f t="shared" si="41"/>
        <v>0.84166838887961737</v>
      </c>
    </row>
    <row r="72" spans="1:59" x14ac:dyDescent="0.25">
      <c r="A72" s="218" t="s">
        <v>171</v>
      </c>
      <c r="B72" s="229">
        <v>0</v>
      </c>
      <c r="C72" s="229">
        <v>0</v>
      </c>
      <c r="D72" s="229">
        <v>0</v>
      </c>
      <c r="E72" s="229">
        <v>2.1642827385085406</v>
      </c>
      <c r="F72" s="229">
        <v>0</v>
      </c>
      <c r="G72" s="229">
        <v>2.6142091909147913</v>
      </c>
      <c r="H72" s="229">
        <v>0</v>
      </c>
      <c r="I72" s="229">
        <v>0</v>
      </c>
      <c r="J72" s="229">
        <v>0</v>
      </c>
      <c r="K72" s="229">
        <v>2.5335767350864091</v>
      </c>
      <c r="L72" s="229">
        <v>1.8856009896121457</v>
      </c>
      <c r="M72" s="229">
        <v>0</v>
      </c>
      <c r="N72" s="229">
        <v>3.5937540250105089</v>
      </c>
      <c r="O72" s="229">
        <v>0</v>
      </c>
      <c r="P72" s="229">
        <v>3.4085085967778199</v>
      </c>
      <c r="Q72" s="229">
        <v>3.3916588484241847</v>
      </c>
      <c r="R72" s="229">
        <v>1.9143174559089018</v>
      </c>
      <c r="S72" s="229">
        <v>2.5576478652442316</v>
      </c>
      <c r="T72" s="229">
        <v>3.4419321753515302</v>
      </c>
      <c r="U72" s="229">
        <v>2.9181125131440586</v>
      </c>
      <c r="V72" s="229">
        <v>0</v>
      </c>
      <c r="W72" s="229">
        <v>0</v>
      </c>
      <c r="X72" s="229">
        <v>0</v>
      </c>
      <c r="Y72" s="229">
        <v>3.1722711502535361</v>
      </c>
      <c r="Z72" s="229">
        <v>2.9508035349282369</v>
      </c>
      <c r="AA72" s="229">
        <v>3.8486153846153841</v>
      </c>
      <c r="AB72" s="229">
        <v>2.4068236734693875</v>
      </c>
      <c r="AC72" s="229">
        <v>0</v>
      </c>
      <c r="AD72" s="229">
        <v>0</v>
      </c>
      <c r="AE72" s="229">
        <v>0</v>
      </c>
      <c r="AF72" s="229">
        <v>0</v>
      </c>
      <c r="AG72" s="229">
        <v>0</v>
      </c>
      <c r="AH72" s="229">
        <v>3.0258380644446827</v>
      </c>
      <c r="AI72" s="229">
        <v>3.9339904420549576</v>
      </c>
      <c r="AJ72" s="229">
        <v>0.82149830928227852</v>
      </c>
      <c r="AK72" s="229">
        <v>1.6975714285714285</v>
      </c>
      <c r="AL72" s="229">
        <v>1.5933846153846152</v>
      </c>
      <c r="AM72" s="229">
        <v>1.827453095124596</v>
      </c>
      <c r="AN72" s="229">
        <v>1.8069999999999999</v>
      </c>
      <c r="AO72" s="229">
        <v>1.5432954066914748</v>
      </c>
      <c r="AP72" s="229">
        <v>3.4866176470588224</v>
      </c>
      <c r="AQ72" s="229">
        <v>1.1607742805755394</v>
      </c>
      <c r="AR72" s="229">
        <v>0</v>
      </c>
      <c r="AS72" s="229">
        <v>0</v>
      </c>
      <c r="AT72" s="229">
        <v>0</v>
      </c>
      <c r="AU72" s="229">
        <v>2.9053311590982522</v>
      </c>
      <c r="AV72" s="229">
        <v>3.3427627776318798</v>
      </c>
      <c r="AW72" s="229">
        <v>0</v>
      </c>
      <c r="AX72" s="229">
        <v>0</v>
      </c>
      <c r="AY72" s="229">
        <v>3.446716417910447</v>
      </c>
      <c r="AZ72" s="229">
        <v>0</v>
      </c>
      <c r="BA72" s="229">
        <v>0</v>
      </c>
      <c r="BB72" s="229">
        <v>3.5050888749987461</v>
      </c>
      <c r="BC72" s="229">
        <v>0</v>
      </c>
      <c r="BD72" s="229">
        <v>1.3917142857142857</v>
      </c>
      <c r="BE72" s="229">
        <v>3.5020496403607737</v>
      </c>
      <c r="BF72" s="230">
        <v>0</v>
      </c>
      <c r="BG72" s="238">
        <f t="shared" si="41"/>
        <v>1.4349684442482884</v>
      </c>
    </row>
    <row r="73" spans="1:59" x14ac:dyDescent="0.25">
      <c r="A73" s="215" t="s">
        <v>179</v>
      </c>
      <c r="B73" s="231">
        <v>0</v>
      </c>
      <c r="C73" s="231">
        <v>0</v>
      </c>
      <c r="D73" s="231">
        <v>0</v>
      </c>
      <c r="E73" s="231">
        <v>0</v>
      </c>
      <c r="F73" s="231">
        <v>0</v>
      </c>
      <c r="G73" s="231">
        <v>0</v>
      </c>
      <c r="H73" s="231">
        <v>0</v>
      </c>
      <c r="I73" s="231">
        <v>0</v>
      </c>
      <c r="J73" s="231">
        <v>0</v>
      </c>
      <c r="K73" s="231">
        <v>0</v>
      </c>
      <c r="L73" s="231">
        <v>0</v>
      </c>
      <c r="M73" s="231">
        <v>0.5840276887578516</v>
      </c>
      <c r="N73" s="231">
        <v>4.3098216708664472</v>
      </c>
      <c r="O73" s="231">
        <v>0</v>
      </c>
      <c r="P73" s="231">
        <v>1.7687391674272339</v>
      </c>
      <c r="Q73" s="231">
        <v>0</v>
      </c>
      <c r="R73" s="231">
        <v>0</v>
      </c>
      <c r="S73" s="231">
        <v>0</v>
      </c>
      <c r="T73" s="231">
        <v>4.4985483870967737</v>
      </c>
      <c r="U73" s="231">
        <v>1.2485771419781571</v>
      </c>
      <c r="V73" s="231">
        <v>0</v>
      </c>
      <c r="W73" s="231">
        <v>0</v>
      </c>
      <c r="X73" s="231">
        <v>0</v>
      </c>
      <c r="Y73" s="231">
        <v>1.541788517777436</v>
      </c>
      <c r="Z73" s="231">
        <v>2.5202952029520294</v>
      </c>
      <c r="AA73" s="231">
        <v>0</v>
      </c>
      <c r="AB73" s="231">
        <v>0</v>
      </c>
      <c r="AC73" s="231">
        <v>0</v>
      </c>
      <c r="AD73" s="231">
        <v>0</v>
      </c>
      <c r="AE73" s="231">
        <v>0</v>
      </c>
      <c r="AF73" s="231">
        <v>0</v>
      </c>
      <c r="AG73" s="231">
        <v>0</v>
      </c>
      <c r="AH73" s="231">
        <v>2.8492421631605556</v>
      </c>
      <c r="AI73" s="231">
        <v>0</v>
      </c>
      <c r="AJ73" s="231">
        <v>0</v>
      </c>
      <c r="AK73" s="231">
        <v>0</v>
      </c>
      <c r="AL73" s="231">
        <v>2.5022243406418814</v>
      </c>
      <c r="AM73" s="231">
        <v>3.2335211267605635</v>
      </c>
      <c r="AN73" s="231">
        <v>4.4878461538461538</v>
      </c>
      <c r="AO73" s="231">
        <v>0</v>
      </c>
      <c r="AP73" s="231">
        <v>4.5129230769230766</v>
      </c>
      <c r="AQ73" s="231">
        <v>0</v>
      </c>
      <c r="AR73" s="231">
        <v>0</v>
      </c>
      <c r="AS73" s="231">
        <v>0</v>
      </c>
      <c r="AT73" s="231">
        <v>0</v>
      </c>
      <c r="AU73" s="231">
        <v>2.4084766322075781</v>
      </c>
      <c r="AV73" s="231">
        <v>0</v>
      </c>
      <c r="AW73" s="231">
        <v>0</v>
      </c>
      <c r="AX73" s="231">
        <v>0</v>
      </c>
      <c r="AY73" s="231">
        <v>0</v>
      </c>
      <c r="AZ73" s="231">
        <v>0</v>
      </c>
      <c r="BA73" s="231">
        <v>0</v>
      </c>
      <c r="BB73" s="231">
        <v>1.6166974169741699</v>
      </c>
      <c r="BC73" s="231">
        <v>0</v>
      </c>
      <c r="BD73" s="231">
        <v>0</v>
      </c>
      <c r="BE73" s="231">
        <v>0</v>
      </c>
      <c r="BF73" s="232">
        <v>0</v>
      </c>
      <c r="BG73" s="239">
        <f t="shared" si="41"/>
        <v>0.66811804714684053</v>
      </c>
    </row>
    <row r="74" spans="1:59" x14ac:dyDescent="0.25">
      <c r="A74" s="218" t="s">
        <v>202</v>
      </c>
      <c r="B74" s="229">
        <v>3.322418868092976</v>
      </c>
      <c r="C74" s="229">
        <v>0</v>
      </c>
      <c r="D74" s="229">
        <v>2.4187722092395165</v>
      </c>
      <c r="E74" s="229">
        <v>1.7582034549534278</v>
      </c>
      <c r="F74" s="229">
        <v>1.0632076635574954</v>
      </c>
      <c r="G74" s="229">
        <v>1.7653747403690485</v>
      </c>
      <c r="H74" s="229">
        <v>2.3205576293861538</v>
      </c>
      <c r="I74" s="229">
        <v>0.55537041784157914</v>
      </c>
      <c r="J74" s="229">
        <v>0.58887621476917618</v>
      </c>
      <c r="K74" s="229">
        <v>1.151660205340495</v>
      </c>
      <c r="L74" s="229">
        <v>1.6148528038471697</v>
      </c>
      <c r="M74" s="229">
        <v>0.58871673953847281</v>
      </c>
      <c r="N74" s="229">
        <v>3.3232294861854834</v>
      </c>
      <c r="O74" s="229">
        <v>0</v>
      </c>
      <c r="P74" s="229">
        <v>1.4230474234964621</v>
      </c>
      <c r="Q74" s="229">
        <v>1.2732724731294818</v>
      </c>
      <c r="R74" s="229">
        <v>2.6643843320968972</v>
      </c>
      <c r="S74" s="229">
        <v>2.2247684498665685</v>
      </c>
      <c r="T74" s="229">
        <v>1.742516382266551</v>
      </c>
      <c r="U74" s="229">
        <v>1.1395800048608187</v>
      </c>
      <c r="V74" s="229">
        <v>1.5513095801300343</v>
      </c>
      <c r="W74" s="229">
        <v>0</v>
      </c>
      <c r="X74" s="229">
        <v>1.5625655734812893</v>
      </c>
      <c r="Y74" s="229">
        <v>1.1295041218539312</v>
      </c>
      <c r="Z74" s="229">
        <v>2.1031573217201962</v>
      </c>
      <c r="AA74" s="229">
        <v>0</v>
      </c>
      <c r="AB74" s="229">
        <v>0.95281891761344628</v>
      </c>
      <c r="AC74" s="229">
        <v>1.7073929404187491</v>
      </c>
      <c r="AD74" s="229">
        <v>1.611881230845128</v>
      </c>
      <c r="AE74" s="229">
        <v>1.3556738743253403</v>
      </c>
      <c r="AF74" s="229">
        <v>2.4041753623435356</v>
      </c>
      <c r="AG74" s="229">
        <v>1.3907142857142858</v>
      </c>
      <c r="AH74" s="229">
        <v>3.021704006506102</v>
      </c>
      <c r="AI74" s="229">
        <v>2.1795014061366227</v>
      </c>
      <c r="AJ74" s="229">
        <v>1.2588592447413207</v>
      </c>
      <c r="AK74" s="229">
        <v>1.8737287257840816</v>
      </c>
      <c r="AL74" s="229">
        <v>2.229018216752201</v>
      </c>
      <c r="AM74" s="229">
        <v>3.3107020333622454</v>
      </c>
      <c r="AN74" s="229">
        <v>1.7494004916821855</v>
      </c>
      <c r="AO74" s="229">
        <v>0.40067064079252757</v>
      </c>
      <c r="AP74" s="229">
        <v>1.3952566932666943</v>
      </c>
      <c r="AQ74" s="229">
        <v>2.525612638570145</v>
      </c>
      <c r="AR74" s="229">
        <v>0.47881392056603667</v>
      </c>
      <c r="AS74" s="229">
        <v>1.7477330308332006</v>
      </c>
      <c r="AT74" s="229">
        <v>2.5318429180761881</v>
      </c>
      <c r="AU74" s="229">
        <v>1.9594172087051178</v>
      </c>
      <c r="AV74" s="229">
        <v>2.1188995873932805</v>
      </c>
      <c r="AW74" s="229">
        <v>1.7815830802782169</v>
      </c>
      <c r="AX74" s="229">
        <v>1.0865383028813773</v>
      </c>
      <c r="AY74" s="229">
        <v>2.0415887741480647</v>
      </c>
      <c r="AZ74" s="229">
        <v>1.688239005708029</v>
      </c>
      <c r="BA74" s="229">
        <v>1.7021917808219176</v>
      </c>
      <c r="BB74" s="229">
        <v>1.2491883958687002</v>
      </c>
      <c r="BC74" s="229">
        <v>1.4185969005165806</v>
      </c>
      <c r="BD74" s="229">
        <v>1.4569347236109127</v>
      </c>
      <c r="BE74" s="229">
        <v>1.9828094573627815</v>
      </c>
      <c r="BF74" s="230">
        <v>2.6139472381751778</v>
      </c>
      <c r="BG74" s="238">
        <f t="shared" si="41"/>
        <v>1.6229961601723411</v>
      </c>
    </row>
    <row r="75" spans="1:59" x14ac:dyDescent="0.25">
      <c r="A75" s="215" t="s">
        <v>174</v>
      </c>
      <c r="B75" s="231">
        <v>4.0120588235294115</v>
      </c>
      <c r="C75" s="231">
        <v>0</v>
      </c>
      <c r="D75" s="231">
        <v>0</v>
      </c>
      <c r="E75" s="231">
        <v>2.2642037401297932</v>
      </c>
      <c r="F75" s="231">
        <v>0</v>
      </c>
      <c r="G75" s="231">
        <v>2.3023719648420427</v>
      </c>
      <c r="H75" s="231">
        <v>0</v>
      </c>
      <c r="I75" s="231">
        <v>0</v>
      </c>
      <c r="J75" s="231">
        <v>0</v>
      </c>
      <c r="K75" s="231">
        <v>3.5216851928545099</v>
      </c>
      <c r="L75" s="231">
        <v>2.3630657861002127</v>
      </c>
      <c r="M75" s="231">
        <v>0.82640377196742421</v>
      </c>
      <c r="N75" s="231">
        <v>0</v>
      </c>
      <c r="O75" s="231">
        <v>0</v>
      </c>
      <c r="P75" s="231">
        <v>4.5363844482530196</v>
      </c>
      <c r="Q75" s="231">
        <v>3.8844100845505283</v>
      </c>
      <c r="R75" s="231">
        <v>3.5873076923076921</v>
      </c>
      <c r="S75" s="231">
        <v>0</v>
      </c>
      <c r="T75" s="231">
        <v>5.4304477611940296</v>
      </c>
      <c r="U75" s="231">
        <v>3.3440227180850579</v>
      </c>
      <c r="V75" s="231">
        <v>0</v>
      </c>
      <c r="W75" s="231">
        <v>0</v>
      </c>
      <c r="X75" s="231">
        <v>0</v>
      </c>
      <c r="Y75" s="231">
        <v>3.2424693789505108</v>
      </c>
      <c r="Z75" s="231">
        <v>0</v>
      </c>
      <c r="AA75" s="231">
        <v>0</v>
      </c>
      <c r="AB75" s="231">
        <v>0</v>
      </c>
      <c r="AC75" s="231">
        <v>0</v>
      </c>
      <c r="AD75" s="231">
        <v>0</v>
      </c>
      <c r="AE75" s="231">
        <v>0</v>
      </c>
      <c r="AF75" s="231">
        <v>0</v>
      </c>
      <c r="AG75" s="231">
        <v>0</v>
      </c>
      <c r="AH75" s="231">
        <v>3.5664383561643835</v>
      </c>
      <c r="AI75" s="231">
        <v>0</v>
      </c>
      <c r="AJ75" s="231">
        <v>0</v>
      </c>
      <c r="AK75" s="231">
        <v>5.5240877892107294</v>
      </c>
      <c r="AL75" s="231">
        <v>0</v>
      </c>
      <c r="AM75" s="231">
        <v>3.4919994715539513</v>
      </c>
      <c r="AN75" s="231">
        <v>4.42978142374713</v>
      </c>
      <c r="AO75" s="231">
        <v>0</v>
      </c>
      <c r="AP75" s="231">
        <v>5.0614197971718324</v>
      </c>
      <c r="AQ75" s="231">
        <v>0</v>
      </c>
      <c r="AR75" s="231">
        <v>0</v>
      </c>
      <c r="AS75" s="231">
        <v>2.2982539260047909</v>
      </c>
      <c r="AT75" s="231">
        <v>0</v>
      </c>
      <c r="AU75" s="231">
        <v>0</v>
      </c>
      <c r="AV75" s="231">
        <v>3.3654491006338758</v>
      </c>
      <c r="AW75" s="231">
        <v>0</v>
      </c>
      <c r="AX75" s="231">
        <v>3.378966480553073</v>
      </c>
      <c r="AY75" s="231">
        <v>2.1977019750112476</v>
      </c>
      <c r="AZ75" s="231">
        <v>2.3169588887703618</v>
      </c>
      <c r="BA75" s="231">
        <v>0</v>
      </c>
      <c r="BB75" s="231">
        <v>3.8891922554119933</v>
      </c>
      <c r="BC75" s="231">
        <v>0</v>
      </c>
      <c r="BD75" s="231">
        <v>0</v>
      </c>
      <c r="BE75" s="231">
        <v>3.6380170165145982</v>
      </c>
      <c r="BF75" s="232">
        <v>3.4101449275362326</v>
      </c>
      <c r="BG75" s="239">
        <f t="shared" si="41"/>
        <v>1.5067235573868145</v>
      </c>
    </row>
    <row r="76" spans="1:59" x14ac:dyDescent="0.25">
      <c r="A76" s="218" t="s">
        <v>200</v>
      </c>
      <c r="B76" s="229">
        <v>4.0891176470588233</v>
      </c>
      <c r="C76" s="229">
        <v>0</v>
      </c>
      <c r="D76" s="229">
        <v>2.7297040182270091</v>
      </c>
      <c r="E76" s="229">
        <v>2.1928509284960702</v>
      </c>
      <c r="F76" s="229">
        <v>2.7416376070922124</v>
      </c>
      <c r="G76" s="229">
        <v>2.1516219300253479</v>
      </c>
      <c r="H76" s="229">
        <v>4.2526253344947973</v>
      </c>
      <c r="I76" s="229">
        <v>2.2145522388059704</v>
      </c>
      <c r="J76" s="229">
        <v>1.8841035130704298</v>
      </c>
      <c r="K76" s="229">
        <v>3.7958766277504115</v>
      </c>
      <c r="L76" s="229">
        <v>2.1436293763659027</v>
      </c>
      <c r="M76" s="229">
        <v>1.8983742686519869</v>
      </c>
      <c r="N76" s="229">
        <v>5.55414149659864</v>
      </c>
      <c r="O76" s="229">
        <v>0</v>
      </c>
      <c r="P76" s="229">
        <v>3.6277405035720314</v>
      </c>
      <c r="Q76" s="229">
        <v>3.9854779538313156</v>
      </c>
      <c r="R76" s="229">
        <v>3.2911016068919174</v>
      </c>
      <c r="S76" s="229">
        <v>3.0072952380952378</v>
      </c>
      <c r="T76" s="229">
        <v>5.2209167788718078</v>
      </c>
      <c r="U76" s="229">
        <v>3.4716900820698289</v>
      </c>
      <c r="V76" s="229">
        <v>0</v>
      </c>
      <c r="W76" s="229">
        <v>2.8569230769230769</v>
      </c>
      <c r="X76" s="229">
        <v>2.3920152185264896</v>
      </c>
      <c r="Y76" s="229">
        <v>3.5338153127729344</v>
      </c>
      <c r="Z76" s="229">
        <v>0</v>
      </c>
      <c r="AA76" s="229">
        <v>5.4085483870967739</v>
      </c>
      <c r="AB76" s="229">
        <v>2.2953250000000001</v>
      </c>
      <c r="AC76" s="229">
        <v>2.4099944182784507</v>
      </c>
      <c r="AD76" s="229">
        <v>2.9963168012302956</v>
      </c>
      <c r="AE76" s="229">
        <v>2.9722666666666666</v>
      </c>
      <c r="AF76" s="229">
        <v>3.718607100808657</v>
      </c>
      <c r="AG76" s="229">
        <v>3.5832642916321467</v>
      </c>
      <c r="AH76" s="229">
        <v>4.4395605556522799</v>
      </c>
      <c r="AI76" s="229">
        <v>3.6501247270907777</v>
      </c>
      <c r="AJ76" s="229">
        <v>2.5532612270006836</v>
      </c>
      <c r="AK76" s="229">
        <v>4.3939462038159514</v>
      </c>
      <c r="AL76" s="229">
        <v>3.5333783783783783</v>
      </c>
      <c r="AM76" s="229">
        <v>3.5598479817563913</v>
      </c>
      <c r="AN76" s="229">
        <v>4.047642461720085</v>
      </c>
      <c r="AO76" s="229">
        <v>1.2829525016217578</v>
      </c>
      <c r="AP76" s="229">
        <v>3.2088013361093886</v>
      </c>
      <c r="AQ76" s="229">
        <v>2.1866078198121328</v>
      </c>
      <c r="AR76" s="229">
        <v>1.2284722129783694</v>
      </c>
      <c r="AS76" s="229">
        <v>2.1664887881015127</v>
      </c>
      <c r="AT76" s="229">
        <v>2.4866176470588233</v>
      </c>
      <c r="AU76" s="229">
        <v>2.0823402910069317</v>
      </c>
      <c r="AV76" s="229">
        <v>3.2443814054580313</v>
      </c>
      <c r="AW76" s="229">
        <v>1.8323356266757069</v>
      </c>
      <c r="AX76" s="229">
        <v>3.4720536395705004</v>
      </c>
      <c r="AY76" s="229">
        <v>3.546395401043605</v>
      </c>
      <c r="AZ76" s="229">
        <v>2.1927642206162381</v>
      </c>
      <c r="BA76" s="229">
        <v>2.6060077779267803</v>
      </c>
      <c r="BB76" s="229">
        <v>3.7679927739558803</v>
      </c>
      <c r="BC76" s="229">
        <v>2.6391980342867924</v>
      </c>
      <c r="BD76" s="229">
        <v>2.7297833333333332</v>
      </c>
      <c r="BE76" s="229">
        <v>3.3593997710575807</v>
      </c>
      <c r="BF76" s="230">
        <v>3.3006966870134984</v>
      </c>
      <c r="BG76" s="238">
        <f t="shared" si="41"/>
        <v>2.8759751618762568</v>
      </c>
    </row>
    <row r="77" spans="1:59" x14ac:dyDescent="0.25">
      <c r="A77" s="215" t="s">
        <v>199</v>
      </c>
      <c r="B77" s="231">
        <v>3.2002277970011535</v>
      </c>
      <c r="C77" s="231">
        <v>0</v>
      </c>
      <c r="D77" s="231">
        <v>0</v>
      </c>
      <c r="E77" s="231">
        <v>1.919586741237028</v>
      </c>
      <c r="F77" s="231">
        <v>2.4016904033966049</v>
      </c>
      <c r="G77" s="231">
        <v>1.7574403011410422</v>
      </c>
      <c r="H77" s="231">
        <v>3.7302857142857144</v>
      </c>
      <c r="I77" s="231">
        <v>0</v>
      </c>
      <c r="J77" s="231">
        <v>1.2759428571428573</v>
      </c>
      <c r="K77" s="231">
        <v>2.7730718109765671</v>
      </c>
      <c r="L77" s="231">
        <v>1.6368048111055691</v>
      </c>
      <c r="M77" s="231">
        <v>0</v>
      </c>
      <c r="N77" s="231">
        <v>5.3985378615645097</v>
      </c>
      <c r="O77" s="231">
        <v>6.1146178266178257</v>
      </c>
      <c r="P77" s="231">
        <v>3.5294733512964775</v>
      </c>
      <c r="Q77" s="231">
        <v>3.1728532296217091</v>
      </c>
      <c r="R77" s="231">
        <v>2.6850000000000001</v>
      </c>
      <c r="S77" s="231">
        <v>0</v>
      </c>
      <c r="T77" s="231">
        <v>2.6083291167106952</v>
      </c>
      <c r="U77" s="231">
        <v>2.7275586605428011</v>
      </c>
      <c r="V77" s="231">
        <v>2.1728378378378381</v>
      </c>
      <c r="W77" s="231">
        <v>0</v>
      </c>
      <c r="X77" s="231">
        <v>1.8112296690912728</v>
      </c>
      <c r="Y77" s="231">
        <v>2.7735211267605635</v>
      </c>
      <c r="Z77" s="231">
        <v>0</v>
      </c>
      <c r="AA77" s="231">
        <v>0</v>
      </c>
      <c r="AB77" s="231">
        <v>1.2592222222222222</v>
      </c>
      <c r="AC77" s="231">
        <v>1.8614864864864864</v>
      </c>
      <c r="AD77" s="231">
        <v>0</v>
      </c>
      <c r="AE77" s="231">
        <v>2.8908188405797102</v>
      </c>
      <c r="AF77" s="231">
        <v>2.8050582450643238</v>
      </c>
      <c r="AG77" s="231">
        <v>0</v>
      </c>
      <c r="AH77" s="231">
        <v>4.3146840477772761</v>
      </c>
      <c r="AI77" s="231">
        <v>3.0383188267244101</v>
      </c>
      <c r="AJ77" s="231">
        <v>1.8648750000000001</v>
      </c>
      <c r="AK77" s="231">
        <v>3.5895612464039734</v>
      </c>
      <c r="AL77" s="231">
        <v>3.5498653772195334</v>
      </c>
      <c r="AM77" s="231">
        <v>3.3339193918157672</v>
      </c>
      <c r="AN77" s="231">
        <v>2.7250246509321197</v>
      </c>
      <c r="AO77" s="231">
        <v>0</v>
      </c>
      <c r="AP77" s="231">
        <v>2.3895123957497324</v>
      </c>
      <c r="AQ77" s="231">
        <v>0</v>
      </c>
      <c r="AR77" s="231">
        <v>0</v>
      </c>
      <c r="AS77" s="231">
        <v>1.507634379132198</v>
      </c>
      <c r="AT77" s="231">
        <v>0</v>
      </c>
      <c r="AU77" s="231">
        <v>0</v>
      </c>
      <c r="AV77" s="231">
        <v>2.5150833443014413</v>
      </c>
      <c r="AW77" s="231">
        <v>1.8488419728012917</v>
      </c>
      <c r="AX77" s="231">
        <v>2.625928734801974</v>
      </c>
      <c r="AY77" s="231">
        <v>2.9958407472915298</v>
      </c>
      <c r="AZ77" s="231">
        <v>1.6967332356366733</v>
      </c>
      <c r="BA77" s="231">
        <v>0</v>
      </c>
      <c r="BB77" s="231">
        <v>3.117049799395148</v>
      </c>
      <c r="BC77" s="231">
        <v>0</v>
      </c>
      <c r="BD77" s="231">
        <v>2.7121482791776832</v>
      </c>
      <c r="BE77" s="231">
        <v>3.015341329086775</v>
      </c>
      <c r="BF77" s="232">
        <v>2.6704757826670109</v>
      </c>
      <c r="BG77" s="239">
        <f t="shared" si="41"/>
        <v>1.9301128675718859</v>
      </c>
    </row>
    <row r="78" spans="1:59" ht="15.75" thickBot="1" x14ac:dyDescent="0.3">
      <c r="A78" s="34" t="s">
        <v>197</v>
      </c>
      <c r="B78" s="233">
        <v>1.3229202989953255</v>
      </c>
      <c r="C78" s="233">
        <v>0</v>
      </c>
      <c r="D78" s="233">
        <v>0.58119775651170957</v>
      </c>
      <c r="E78" s="233">
        <v>1.5857713152676793</v>
      </c>
      <c r="F78" s="233">
        <v>0.66427982462218749</v>
      </c>
      <c r="G78" s="233">
        <v>1.4867151520179755</v>
      </c>
      <c r="H78" s="233">
        <v>1.584100582901554</v>
      </c>
      <c r="I78" s="233">
        <v>0</v>
      </c>
      <c r="J78" s="233">
        <v>0.67523868020780664</v>
      </c>
      <c r="K78" s="233">
        <v>2.4449291023654163</v>
      </c>
      <c r="L78" s="233">
        <v>1.6202968040484254</v>
      </c>
      <c r="M78" s="233">
        <v>1.4261316108478717</v>
      </c>
      <c r="N78" s="233">
        <v>0</v>
      </c>
      <c r="O78" s="233">
        <v>0</v>
      </c>
      <c r="P78" s="233">
        <v>2.8817404291416993</v>
      </c>
      <c r="Q78" s="233">
        <v>2.5114341756745966</v>
      </c>
      <c r="R78" s="233">
        <v>2.2261724419103306</v>
      </c>
      <c r="S78" s="233">
        <v>0</v>
      </c>
      <c r="T78" s="233">
        <v>2.2800972261938806</v>
      </c>
      <c r="U78" s="233">
        <v>2.5317706237424544</v>
      </c>
      <c r="V78" s="233">
        <v>0.89611617935455512</v>
      </c>
      <c r="W78" s="233">
        <v>2.2959154929577466</v>
      </c>
      <c r="X78" s="233">
        <v>0.79310934834841351</v>
      </c>
      <c r="Y78" s="233">
        <v>2.3033086542222763</v>
      </c>
      <c r="Z78" s="233">
        <v>0</v>
      </c>
      <c r="AA78" s="233">
        <v>0</v>
      </c>
      <c r="AB78" s="233">
        <v>1.928334060662019</v>
      </c>
      <c r="AC78" s="233">
        <v>0.71003124976200827</v>
      </c>
      <c r="AD78" s="233">
        <v>1.1278894723312423</v>
      </c>
      <c r="AE78" s="233">
        <v>0</v>
      </c>
      <c r="AF78" s="233">
        <v>1.4003027211080996</v>
      </c>
      <c r="AG78" s="233">
        <v>0</v>
      </c>
      <c r="AH78" s="233">
        <v>1.9251686119733677</v>
      </c>
      <c r="AI78" s="233">
        <v>1.3620556940040942</v>
      </c>
      <c r="AJ78" s="233">
        <v>1.4743333333333333</v>
      </c>
      <c r="AK78" s="233">
        <v>1.8086216601679488</v>
      </c>
      <c r="AL78" s="233">
        <v>1.1201699095642641</v>
      </c>
      <c r="AM78" s="233">
        <v>0.92064772688272689</v>
      </c>
      <c r="AN78" s="233">
        <v>0.99486048633563207</v>
      </c>
      <c r="AO78" s="233">
        <v>0.49149999999999999</v>
      </c>
      <c r="AP78" s="233">
        <v>1.0970354961296427</v>
      </c>
      <c r="AQ78" s="233">
        <v>0.57776976464013208</v>
      </c>
      <c r="AR78" s="233">
        <v>1.0851999999999999</v>
      </c>
      <c r="AS78" s="233">
        <v>1.4833465701847275</v>
      </c>
      <c r="AT78" s="233">
        <v>0</v>
      </c>
      <c r="AU78" s="233">
        <v>1.7254821799389242</v>
      </c>
      <c r="AV78" s="233">
        <v>1.0529788564950546</v>
      </c>
      <c r="AW78" s="233">
        <v>0.6013068228829147</v>
      </c>
      <c r="AX78" s="233">
        <v>2.3131425299370378</v>
      </c>
      <c r="AY78" s="233">
        <v>1.0438918318050898</v>
      </c>
      <c r="AZ78" s="233">
        <v>1.4333020565279067</v>
      </c>
      <c r="BA78" s="233">
        <v>1.5894811154253436</v>
      </c>
      <c r="BB78" s="233">
        <v>2.7651342514221136</v>
      </c>
      <c r="BC78" s="233">
        <v>0</v>
      </c>
      <c r="BD78" s="233">
        <v>1.6669808347803721</v>
      </c>
      <c r="BE78" s="233">
        <v>1.0659508259473058</v>
      </c>
      <c r="BF78" s="234">
        <v>0.9071366079240093</v>
      </c>
      <c r="BG78" s="240">
        <f t="shared" si="41"/>
        <v>1.1891807082367933</v>
      </c>
    </row>
    <row r="80" spans="1:59" ht="21" x14ac:dyDescent="0.3">
      <c r="A80" s="40" t="s">
        <v>105</v>
      </c>
      <c r="B80" s="5"/>
    </row>
    <row r="81" spans="1:13" x14ac:dyDescent="0.25">
      <c r="A81" s="197" t="s">
        <v>52</v>
      </c>
      <c r="B81" s="198" t="s">
        <v>63</v>
      </c>
      <c r="C81" s="198" t="s">
        <v>64</v>
      </c>
      <c r="D81" s="198" t="s">
        <v>65</v>
      </c>
      <c r="E81" s="198" t="s">
        <v>66</v>
      </c>
      <c r="F81" s="198" t="s">
        <v>67</v>
      </c>
      <c r="G81" s="198" t="s">
        <v>68</v>
      </c>
      <c r="H81" s="198" t="s">
        <v>69</v>
      </c>
      <c r="I81" s="198" t="s">
        <v>70</v>
      </c>
      <c r="J81" s="198" t="s">
        <v>71</v>
      </c>
      <c r="K81" s="198" t="s">
        <v>72</v>
      </c>
      <c r="L81" s="198" t="s">
        <v>73</v>
      </c>
      <c r="M81" s="198" t="s">
        <v>74</v>
      </c>
    </row>
    <row r="82" spans="1:13" x14ac:dyDescent="0.25">
      <c r="A82" s="199" t="s">
        <v>75</v>
      </c>
      <c r="B82" s="200">
        <v>60.5</v>
      </c>
      <c r="C82" s="200">
        <v>62.1</v>
      </c>
      <c r="D82" s="200">
        <v>65.099999999999994</v>
      </c>
      <c r="E82" s="200">
        <v>71.5</v>
      </c>
      <c r="F82" s="200">
        <v>71.5</v>
      </c>
      <c r="G82" s="200">
        <v>75.5</v>
      </c>
      <c r="H82" s="200">
        <v>76.7</v>
      </c>
      <c r="I82" s="200">
        <v>77</v>
      </c>
      <c r="J82" s="200">
        <v>77.2</v>
      </c>
      <c r="K82" s="200">
        <v>71.3</v>
      </c>
      <c r="L82" s="200">
        <v>59.5</v>
      </c>
      <c r="M82" s="200">
        <v>51.9</v>
      </c>
    </row>
    <row r="83" spans="1:13" x14ac:dyDescent="0.25">
      <c r="A83" s="201" t="s">
        <v>54</v>
      </c>
      <c r="B83" s="202">
        <v>117.6</v>
      </c>
      <c r="C83" s="202">
        <v>135.4</v>
      </c>
      <c r="D83" s="202">
        <v>125.7</v>
      </c>
      <c r="E83" s="202">
        <v>163.19999999999999</v>
      </c>
      <c r="F83" s="202">
        <v>163.19999999999999</v>
      </c>
      <c r="G83" s="202">
        <v>169.9</v>
      </c>
      <c r="H83" s="202">
        <v>153.80000000000001</v>
      </c>
      <c r="I83" s="202">
        <v>171.7</v>
      </c>
      <c r="J83" s="202">
        <v>161.9</v>
      </c>
      <c r="K83" s="202">
        <v>131.9</v>
      </c>
      <c r="L83" s="202">
        <v>141.1</v>
      </c>
      <c r="M83" s="202">
        <v>111.9</v>
      </c>
    </row>
    <row r="84" spans="1:13" x14ac:dyDescent="0.25">
      <c r="A84" s="203" t="s">
        <v>55</v>
      </c>
      <c r="B84" s="204">
        <v>54.3</v>
      </c>
      <c r="C84" s="204">
        <v>54.5</v>
      </c>
      <c r="D84" s="204">
        <v>61.5</v>
      </c>
      <c r="E84" s="204">
        <v>60</v>
      </c>
      <c r="F84" s="204">
        <v>64.099999999999994</v>
      </c>
      <c r="G84" s="204">
        <v>78.7</v>
      </c>
      <c r="H84" s="204">
        <v>73.5</v>
      </c>
      <c r="I84" s="204">
        <v>75.7</v>
      </c>
      <c r="J84" s="204">
        <v>73.3</v>
      </c>
      <c r="K84" s="204">
        <v>70.7</v>
      </c>
      <c r="L84" s="204">
        <v>54.9</v>
      </c>
      <c r="M84" s="204">
        <v>53.6</v>
      </c>
    </row>
    <row r="85" spans="1:13" x14ac:dyDescent="0.25">
      <c r="A85" s="201" t="s">
        <v>56</v>
      </c>
      <c r="B85" s="202">
        <v>70.2</v>
      </c>
      <c r="C85" s="202">
        <v>63.7</v>
      </c>
      <c r="D85" s="202">
        <v>61.2</v>
      </c>
      <c r="E85" s="202">
        <v>66.3</v>
      </c>
      <c r="F85" s="202">
        <v>83.4</v>
      </c>
      <c r="G85" s="202">
        <v>115.2</v>
      </c>
      <c r="H85" s="202">
        <v>113.5</v>
      </c>
      <c r="I85" s="202">
        <v>117.7</v>
      </c>
      <c r="J85" s="202">
        <v>113.4</v>
      </c>
      <c r="K85" s="202">
        <v>81.400000000000006</v>
      </c>
      <c r="L85" s="202">
        <v>56.2</v>
      </c>
      <c r="M85" s="202">
        <v>61.6</v>
      </c>
    </row>
    <row r="86" spans="1:13" x14ac:dyDescent="0.25">
      <c r="A86" s="203" t="s">
        <v>57</v>
      </c>
      <c r="B86" s="204">
        <v>73.599999999999994</v>
      </c>
      <c r="C86" s="204">
        <v>74.3</v>
      </c>
      <c r="D86" s="204">
        <v>97.3</v>
      </c>
      <c r="E86" s="204">
        <v>104.2</v>
      </c>
      <c r="F86" s="204">
        <v>118</v>
      </c>
      <c r="G86" s="204">
        <v>137.9</v>
      </c>
      <c r="H86" s="204">
        <v>151.80000000000001</v>
      </c>
      <c r="I86" s="204">
        <v>149.69999999999999</v>
      </c>
      <c r="J86" s="204">
        <v>142.5</v>
      </c>
      <c r="K86" s="204">
        <v>117.6</v>
      </c>
      <c r="L86" s="204">
        <v>80</v>
      </c>
      <c r="M86" s="204">
        <v>68.400000000000006</v>
      </c>
    </row>
    <row r="87" spans="1:13" x14ac:dyDescent="0.25">
      <c r="A87" s="201" t="s">
        <v>58</v>
      </c>
      <c r="B87" s="202">
        <v>56.8</v>
      </c>
      <c r="C87" s="202">
        <v>57.9</v>
      </c>
      <c r="D87" s="202">
        <v>63.4</v>
      </c>
      <c r="E87" s="202">
        <v>65.400000000000006</v>
      </c>
      <c r="F87" s="202">
        <v>65.900000000000006</v>
      </c>
      <c r="G87" s="202">
        <v>70</v>
      </c>
      <c r="H87" s="202">
        <v>72</v>
      </c>
      <c r="I87" s="202">
        <v>72.3</v>
      </c>
      <c r="J87" s="202">
        <v>72.2</v>
      </c>
      <c r="K87" s="202">
        <v>67.7</v>
      </c>
      <c r="L87" s="202">
        <v>55.1</v>
      </c>
      <c r="M87" s="202">
        <v>51.1</v>
      </c>
    </row>
    <row r="88" spans="1:13" x14ac:dyDescent="0.25">
      <c r="A88" s="203" t="s">
        <v>59</v>
      </c>
      <c r="B88" s="204">
        <v>68.2</v>
      </c>
      <c r="C88" s="204">
        <v>71.5</v>
      </c>
      <c r="D88" s="204">
        <v>92.5</v>
      </c>
      <c r="E88" s="204">
        <v>104.7</v>
      </c>
      <c r="F88" s="204">
        <v>112.2</v>
      </c>
      <c r="G88" s="204">
        <v>128.69999999999999</v>
      </c>
      <c r="H88" s="204">
        <v>132.5</v>
      </c>
      <c r="I88" s="204">
        <v>132.9</v>
      </c>
      <c r="J88" s="204">
        <v>124.6</v>
      </c>
      <c r="K88" s="204">
        <v>103.2</v>
      </c>
      <c r="L88" s="204">
        <v>77.2</v>
      </c>
      <c r="M88" s="204">
        <v>66.8</v>
      </c>
    </row>
    <row r="89" spans="1:13" x14ac:dyDescent="0.25">
      <c r="A89" s="201" t="s">
        <v>60</v>
      </c>
      <c r="B89" s="202">
        <v>73.2</v>
      </c>
      <c r="C89" s="202">
        <v>79.400000000000006</v>
      </c>
      <c r="D89" s="202">
        <v>83.3</v>
      </c>
      <c r="E89" s="202">
        <v>90.1</v>
      </c>
      <c r="F89" s="202">
        <v>81.2</v>
      </c>
      <c r="G89" s="202">
        <v>91.2</v>
      </c>
      <c r="H89" s="202">
        <v>88.4</v>
      </c>
      <c r="I89" s="202">
        <v>94.5</v>
      </c>
      <c r="J89" s="202">
        <v>89.1</v>
      </c>
      <c r="K89" s="202">
        <v>83.3</v>
      </c>
      <c r="L89" s="202">
        <v>78.3</v>
      </c>
      <c r="M89" s="202">
        <v>70.3</v>
      </c>
    </row>
    <row r="90" spans="1:13" x14ac:dyDescent="0.25">
      <c r="A90" s="203" t="s">
        <v>61</v>
      </c>
      <c r="B90" s="204">
        <v>71.599999999999994</v>
      </c>
      <c r="C90" s="204">
        <v>78.099999999999994</v>
      </c>
      <c r="D90" s="204">
        <v>95.3</v>
      </c>
      <c r="E90" s="204">
        <v>113.4</v>
      </c>
      <c r="F90" s="204">
        <v>120.3</v>
      </c>
      <c r="G90" s="204">
        <v>133.30000000000001</v>
      </c>
      <c r="H90" s="204">
        <v>130.6</v>
      </c>
      <c r="I90" s="204">
        <v>147.5</v>
      </c>
      <c r="J90" s="204">
        <v>129.1</v>
      </c>
      <c r="K90" s="204">
        <v>106.5</v>
      </c>
      <c r="L90" s="204">
        <v>91.7</v>
      </c>
      <c r="M90" s="204">
        <v>73.2</v>
      </c>
    </row>
    <row r="91" spans="1:13" x14ac:dyDescent="0.25">
      <c r="A91" s="205" t="s">
        <v>62</v>
      </c>
      <c r="B91" s="202">
        <v>74.7</v>
      </c>
      <c r="C91" s="202">
        <v>77.7</v>
      </c>
      <c r="D91" s="202">
        <v>101</v>
      </c>
      <c r="E91" s="202">
        <v>127</v>
      </c>
      <c r="F91" s="202">
        <v>132</v>
      </c>
      <c r="G91" s="202">
        <v>154.9</v>
      </c>
      <c r="H91" s="202">
        <v>162.5</v>
      </c>
      <c r="I91" s="202">
        <v>164</v>
      </c>
      <c r="J91" s="202">
        <v>150.19999999999999</v>
      </c>
      <c r="K91" s="202">
        <v>124.4</v>
      </c>
      <c r="L91" s="202">
        <v>88.8</v>
      </c>
      <c r="M91" s="202">
        <v>77</v>
      </c>
    </row>
    <row r="92" spans="1:13" x14ac:dyDescent="0.25">
      <c r="B92"/>
    </row>
    <row r="93" spans="1:13" ht="18.75" x14ac:dyDescent="0.3">
      <c r="A93" s="41" t="s">
        <v>97</v>
      </c>
      <c r="B93"/>
    </row>
    <row r="94" spans="1:13" x14ac:dyDescent="0.25">
      <c r="A94" s="197" t="s">
        <v>52</v>
      </c>
      <c r="B94" s="198" t="s">
        <v>63</v>
      </c>
      <c r="C94" s="198" t="s">
        <v>64</v>
      </c>
      <c r="D94" s="198" t="s">
        <v>65</v>
      </c>
      <c r="E94" s="198" t="s">
        <v>66</v>
      </c>
      <c r="F94" s="198" t="s">
        <v>67</v>
      </c>
      <c r="G94" s="198" t="s">
        <v>68</v>
      </c>
      <c r="H94" s="198" t="s">
        <v>69</v>
      </c>
      <c r="I94" s="198" t="s">
        <v>70</v>
      </c>
      <c r="J94" s="198" t="s">
        <v>71</v>
      </c>
      <c r="K94" s="198" t="s">
        <v>72</v>
      </c>
      <c r="L94" s="198" t="s">
        <v>73</v>
      </c>
      <c r="M94" s="198" t="s">
        <v>74</v>
      </c>
    </row>
    <row r="95" spans="1:13" x14ac:dyDescent="0.25">
      <c r="A95" s="199" t="s">
        <v>75</v>
      </c>
      <c r="B95" s="206">
        <f>B82/Conversions!$B$4</f>
        <v>1.8566768246836745E-4</v>
      </c>
      <c r="C95" s="206">
        <f>C82/Conversions!$B$4</f>
        <v>1.9057790217001024E-4</v>
      </c>
      <c r="D95" s="206">
        <f>D82/Conversions!$B$4</f>
        <v>1.997845641105904E-4</v>
      </c>
      <c r="E95" s="206">
        <f>E82/Conversions!$B$4</f>
        <v>2.1942544291716153E-4</v>
      </c>
      <c r="F95" s="206">
        <f>F82/Conversions!$B$4</f>
        <v>2.1942544291716153E-4</v>
      </c>
      <c r="G95" s="206">
        <f>G82/Conversions!$B$4</f>
        <v>2.3170099217126845E-4</v>
      </c>
      <c r="H95" s="206">
        <f>H82/Conversions!$B$4</f>
        <v>2.3538365694750056E-4</v>
      </c>
      <c r="I95" s="206">
        <f>I82/Conversions!$B$4</f>
        <v>2.3630432314155858E-4</v>
      </c>
      <c r="J95" s="206">
        <f>J82/Conversions!$B$4</f>
        <v>2.3691810060426393E-4</v>
      </c>
      <c r="K95" s="206">
        <f>K82/Conversions!$B$4</f>
        <v>2.1881166545445618E-4</v>
      </c>
      <c r="L95" s="206">
        <f>L82/Conversions!$B$4</f>
        <v>1.825987951548407E-4</v>
      </c>
      <c r="M95" s="206">
        <f>M82/Conversions!$B$4</f>
        <v>1.5927525157203752E-4</v>
      </c>
    </row>
    <row r="96" spans="1:13" x14ac:dyDescent="0.25">
      <c r="A96" s="201" t="s">
        <v>54</v>
      </c>
      <c r="B96" s="207">
        <f>B83/Conversions!$B$4</f>
        <v>3.6090114807074399E-4</v>
      </c>
      <c r="C96" s="207">
        <f>C83/Conversions!$B$4</f>
        <v>4.1552734225151988E-4</v>
      </c>
      <c r="D96" s="207">
        <f>D83/Conversions!$B$4</f>
        <v>3.8575913531031054E-4</v>
      </c>
      <c r="E96" s="207">
        <f>E83/Conversions!$B$4</f>
        <v>5.0084240956756306E-4</v>
      </c>
      <c r="F96" s="207">
        <f>F83/Conversions!$B$4</f>
        <v>5.0084240956756306E-4</v>
      </c>
      <c r="G96" s="207">
        <f>G83/Conversions!$B$4</f>
        <v>5.2140395456819221E-4</v>
      </c>
      <c r="H96" s="207">
        <f>H83/Conversions!$B$4</f>
        <v>4.7199486882041182E-4</v>
      </c>
      <c r="I96" s="207">
        <f>I83/Conversions!$B$4</f>
        <v>5.2692795173254028E-4</v>
      </c>
      <c r="J96" s="207">
        <f>J83/Conversions!$B$4</f>
        <v>4.9685285605997832E-4</v>
      </c>
      <c r="K96" s="207">
        <f>K83/Conversions!$B$4</f>
        <v>4.0478623665417631E-4</v>
      </c>
      <c r="L96" s="207">
        <f>L83/Conversions!$B$4</f>
        <v>4.3301999993862223E-4</v>
      </c>
      <c r="M96" s="207">
        <f>M83/Conversions!$B$4</f>
        <v>3.4340849038364164E-4</v>
      </c>
    </row>
    <row r="97" spans="1:13" x14ac:dyDescent="0.25">
      <c r="A97" s="203" t="s">
        <v>55</v>
      </c>
      <c r="B97" s="208">
        <f>B84/Conversions!$B$4</f>
        <v>1.6664058112450167E-4</v>
      </c>
      <c r="C97" s="208">
        <f>C84/Conversions!$B$4</f>
        <v>1.6725435858720703E-4</v>
      </c>
      <c r="D97" s="208">
        <f>D84/Conversions!$B$4</f>
        <v>1.8873656978189417E-4</v>
      </c>
      <c r="E97" s="208">
        <f>E84/Conversions!$B$4</f>
        <v>1.8413323881160407E-4</v>
      </c>
      <c r="F97" s="208">
        <f>F84/Conversions!$B$4</f>
        <v>1.9671567679706368E-4</v>
      </c>
      <c r="G97" s="208">
        <f>G84/Conversions!$B$4</f>
        <v>2.4152143157455403E-4</v>
      </c>
      <c r="H97" s="208">
        <f>H84/Conversions!$B$4</f>
        <v>2.25563217544215E-4</v>
      </c>
      <c r="I97" s="208">
        <f>I84/Conversions!$B$4</f>
        <v>2.3231476963397381E-4</v>
      </c>
      <c r="J97" s="208">
        <f>J84/Conversions!$B$4</f>
        <v>2.2494944008150965E-4</v>
      </c>
      <c r="K97" s="208">
        <f>K84/Conversions!$B$4</f>
        <v>2.1697033306634014E-4</v>
      </c>
      <c r="L97" s="208">
        <f>L84/Conversions!$B$4</f>
        <v>1.6848191351261774E-4</v>
      </c>
      <c r="M97" s="208">
        <f>M84/Conversions!$B$4</f>
        <v>1.6449236000503297E-4</v>
      </c>
    </row>
    <row r="98" spans="1:13" x14ac:dyDescent="0.25">
      <c r="A98" s="201" t="s">
        <v>56</v>
      </c>
      <c r="B98" s="207">
        <f>B85/Conversions!$B$4</f>
        <v>2.1543588940957679E-4</v>
      </c>
      <c r="C98" s="207">
        <f>C85/Conversions!$B$4</f>
        <v>1.95488121871653E-4</v>
      </c>
      <c r="D98" s="207">
        <f>D85/Conversions!$B$4</f>
        <v>1.8781590358783618E-4</v>
      </c>
      <c r="E98" s="207">
        <f>E85/Conversions!$B$4</f>
        <v>2.0346722888682251E-4</v>
      </c>
      <c r="F98" s="207">
        <f>F85/Conversions!$B$4</f>
        <v>2.559452019481297E-4</v>
      </c>
      <c r="G98" s="207">
        <f>G85/Conversions!$B$4</f>
        <v>3.5353581851827983E-4</v>
      </c>
      <c r="H98" s="207">
        <f>H85/Conversions!$B$4</f>
        <v>3.4831871008528438E-4</v>
      </c>
      <c r="I98" s="207">
        <f>I85/Conversions!$B$4</f>
        <v>3.6120803680209665E-4</v>
      </c>
      <c r="J98" s="207">
        <f>J85/Conversions!$B$4</f>
        <v>3.4801182135393171E-4</v>
      </c>
      <c r="K98" s="207">
        <f>K85/Conversions!$B$4</f>
        <v>2.498074273210762E-4</v>
      </c>
      <c r="L98" s="207">
        <f>L85/Conversions!$B$4</f>
        <v>1.7247146702020248E-4</v>
      </c>
      <c r="M98" s="207">
        <f>M85/Conversions!$B$4</f>
        <v>1.8904345851324686E-4</v>
      </c>
    </row>
    <row r="99" spans="1:13" x14ac:dyDescent="0.25">
      <c r="A99" s="203" t="s">
        <v>57</v>
      </c>
      <c r="B99" s="208">
        <f>B86/Conversions!$B$4</f>
        <v>2.2587010627556764E-4</v>
      </c>
      <c r="C99" s="208">
        <f>C86/Conversions!$B$4</f>
        <v>2.2801832739503637E-4</v>
      </c>
      <c r="D99" s="208">
        <f>D86/Conversions!$B$4</f>
        <v>2.9860273560615127E-4</v>
      </c>
      <c r="E99" s="208">
        <f>E86/Conversions!$B$4</f>
        <v>3.1977805806948574E-4</v>
      </c>
      <c r="F99" s="208">
        <f>F86/Conversions!$B$4</f>
        <v>3.621287029961547E-4</v>
      </c>
      <c r="G99" s="208">
        <f>G86/Conversions!$B$4</f>
        <v>4.231995605353367E-4</v>
      </c>
      <c r="H99" s="208">
        <f>H86/Conversions!$B$4</f>
        <v>4.6585709419335832E-4</v>
      </c>
      <c r="I99" s="208">
        <f>I86/Conversions!$B$4</f>
        <v>4.5941243083495216E-4</v>
      </c>
      <c r="J99" s="208">
        <f>J86/Conversions!$B$4</f>
        <v>4.3731644217755969E-4</v>
      </c>
      <c r="K99" s="208">
        <f>K86/Conversions!$B$4</f>
        <v>3.6090114807074399E-4</v>
      </c>
      <c r="L99" s="208">
        <f>L86/Conversions!$B$4</f>
        <v>2.4551098508213874E-4</v>
      </c>
      <c r="M99" s="208">
        <f>M86/Conversions!$B$4</f>
        <v>2.0991189224522867E-4</v>
      </c>
    </row>
    <row r="100" spans="1:13" x14ac:dyDescent="0.25">
      <c r="A100" s="201" t="s">
        <v>58</v>
      </c>
      <c r="B100" s="207">
        <f>B87/Conversions!$B$4</f>
        <v>1.7431279940831852E-4</v>
      </c>
      <c r="C100" s="207">
        <f>C87/Conversions!$B$4</f>
        <v>1.7768857545319793E-4</v>
      </c>
      <c r="D100" s="207">
        <f>D87/Conversions!$B$4</f>
        <v>1.9456745567759498E-4</v>
      </c>
      <c r="E100" s="207">
        <f>E87/Conversions!$B$4</f>
        <v>2.0070523030464845E-4</v>
      </c>
      <c r="F100" s="207">
        <f>F87/Conversions!$B$4</f>
        <v>2.0223967396141182E-4</v>
      </c>
      <c r="G100" s="207">
        <f>G87/Conversions!$B$4</f>
        <v>2.1482211194687143E-4</v>
      </c>
      <c r="H100" s="207">
        <f>H87/Conversions!$B$4</f>
        <v>2.2095988657392488E-4</v>
      </c>
      <c r="I100" s="207">
        <f>I87/Conversions!$B$4</f>
        <v>2.218805527679829E-4</v>
      </c>
      <c r="J100" s="207">
        <f>J87/Conversions!$B$4</f>
        <v>2.2157366403663024E-4</v>
      </c>
      <c r="K100" s="207">
        <f>K87/Conversions!$B$4</f>
        <v>2.0776367112575994E-4</v>
      </c>
      <c r="L100" s="207">
        <f>L87/Conversions!$B$4</f>
        <v>1.6909569097532309E-4</v>
      </c>
      <c r="M100" s="207">
        <f>M87/Conversions!$B$4</f>
        <v>1.5682014172121615E-4</v>
      </c>
    </row>
    <row r="101" spans="1:13" x14ac:dyDescent="0.25">
      <c r="A101" s="203" t="s">
        <v>59</v>
      </c>
      <c r="B101" s="208">
        <f>B88/Conversions!$B$4</f>
        <v>2.0929811478252332E-4</v>
      </c>
      <c r="C101" s="208">
        <f>C88/Conversions!$B$4</f>
        <v>2.1942544291716153E-4</v>
      </c>
      <c r="D101" s="208">
        <f>D88/Conversions!$B$4</f>
        <v>2.8387207650122295E-4</v>
      </c>
      <c r="E101" s="208">
        <f>E88/Conversions!$B$4</f>
        <v>3.2131250172624912E-4</v>
      </c>
      <c r="F101" s="208">
        <f>F88/Conversions!$B$4</f>
        <v>3.4432915657769963E-4</v>
      </c>
      <c r="G101" s="208">
        <f>G88/Conversions!$B$4</f>
        <v>3.9496579725089074E-4</v>
      </c>
      <c r="H101" s="208">
        <f>H88/Conversions!$B$4</f>
        <v>4.0662756904229235E-4</v>
      </c>
      <c r="I101" s="208">
        <f>I88/Conversions!$B$4</f>
        <v>4.0785512396770306E-4</v>
      </c>
      <c r="J101" s="208">
        <f>J88/Conversions!$B$4</f>
        <v>3.8238335926543113E-4</v>
      </c>
      <c r="K101" s="208">
        <f>K88/Conversions!$B$4</f>
        <v>3.1670917075595899E-4</v>
      </c>
      <c r="L101" s="208">
        <f>L88/Conversions!$B$4</f>
        <v>2.3691810060426393E-4</v>
      </c>
      <c r="M101" s="208">
        <f>M88/Conversions!$B$4</f>
        <v>2.0500167254358586E-4</v>
      </c>
    </row>
    <row r="102" spans="1:13" x14ac:dyDescent="0.25">
      <c r="A102" s="201" t="s">
        <v>60</v>
      </c>
      <c r="B102" s="207">
        <f>B89/Conversions!$B$4</f>
        <v>2.2464255135015699E-4</v>
      </c>
      <c r="C102" s="207">
        <f>C89/Conversions!$B$4</f>
        <v>2.4366965269402276E-4</v>
      </c>
      <c r="D102" s="207">
        <f>D89/Conversions!$B$4</f>
        <v>2.5563831321677699E-4</v>
      </c>
      <c r="E102" s="207">
        <f>E89/Conversions!$B$4</f>
        <v>2.765067469487588E-4</v>
      </c>
      <c r="F102" s="207">
        <f>F89/Conversions!$B$4</f>
        <v>2.4919364985837088E-4</v>
      </c>
      <c r="G102" s="207">
        <f>G89/Conversions!$B$4</f>
        <v>2.7988252299363821E-4</v>
      </c>
      <c r="H102" s="207">
        <f>H89/Conversions!$B$4</f>
        <v>2.7128963851576334E-4</v>
      </c>
      <c r="I102" s="207">
        <f>I89/Conversions!$B$4</f>
        <v>2.900098511282764E-4</v>
      </c>
      <c r="J102" s="207">
        <f>J89/Conversions!$B$4</f>
        <v>2.7343785963523205E-4</v>
      </c>
      <c r="K102" s="207">
        <f>K89/Conversions!$B$4</f>
        <v>2.5563831321677699E-4</v>
      </c>
      <c r="L102" s="207">
        <f>L89/Conversions!$B$4</f>
        <v>2.4029387664914332E-4</v>
      </c>
      <c r="M102" s="207">
        <f>M89/Conversions!$B$4</f>
        <v>2.1574277814092943E-4</v>
      </c>
    </row>
    <row r="103" spans="1:13" x14ac:dyDescent="0.25">
      <c r="A103" s="203" t="s">
        <v>61</v>
      </c>
      <c r="B103" s="208">
        <f>B90/Conversions!$B$4</f>
        <v>2.1973233164851417E-4</v>
      </c>
      <c r="C103" s="208">
        <f>C90/Conversions!$B$4</f>
        <v>2.3968009918643796E-4</v>
      </c>
      <c r="D103" s="208">
        <f>D90/Conversions!$B$4</f>
        <v>2.9246496097909782E-4</v>
      </c>
      <c r="E103" s="208">
        <f>E90/Conversions!$B$4</f>
        <v>3.4801182135393171E-4</v>
      </c>
      <c r="F103" s="208">
        <f>F90/Conversions!$B$4</f>
        <v>3.6918714381726619E-4</v>
      </c>
      <c r="G103" s="208">
        <f>G90/Conversions!$B$4</f>
        <v>4.0908267889311377E-4</v>
      </c>
      <c r="H103" s="208">
        <f>H90/Conversions!$B$4</f>
        <v>4.0079668314659152E-4</v>
      </c>
      <c r="I103" s="208">
        <f>I90/Conversions!$B$4</f>
        <v>4.5266087874519333E-4</v>
      </c>
      <c r="J103" s="208">
        <f>J90/Conversions!$B$4</f>
        <v>3.9619335217630145E-4</v>
      </c>
      <c r="K103" s="208">
        <f>K90/Conversions!$B$4</f>
        <v>3.2683649889059724E-4</v>
      </c>
      <c r="L103" s="208">
        <f>L90/Conversions!$B$4</f>
        <v>2.8141696665040159E-4</v>
      </c>
      <c r="M103" s="208">
        <f>M90/Conversions!$B$4</f>
        <v>2.2464255135015699E-4</v>
      </c>
    </row>
    <row r="104" spans="1:13" x14ac:dyDescent="0.25">
      <c r="A104" s="205" t="s">
        <v>62</v>
      </c>
      <c r="B104" s="207">
        <f>B91/Conversions!$B$4</f>
        <v>2.2924588232044708E-4</v>
      </c>
      <c r="C104" s="207">
        <f>C91/Conversions!$B$4</f>
        <v>2.3845254426102728E-4</v>
      </c>
      <c r="D104" s="207">
        <f>D91/Conversions!$B$4</f>
        <v>3.0995761866620022E-4</v>
      </c>
      <c r="E104" s="207">
        <f>E91/Conversions!$B$4</f>
        <v>3.8974868881789528E-4</v>
      </c>
      <c r="F104" s="207">
        <f>F91/Conversions!$B$4</f>
        <v>4.0509312538552898E-4</v>
      </c>
      <c r="G104" s="207">
        <f>G91/Conversions!$B$4</f>
        <v>4.7537064486529118E-4</v>
      </c>
      <c r="H104" s="207">
        <f>H91/Conversions!$B$4</f>
        <v>4.9869418844809442E-4</v>
      </c>
      <c r="I104" s="207">
        <f>I91/Conversions!$B$4</f>
        <v>5.0329751941838449E-4</v>
      </c>
      <c r="J104" s="207">
        <f>J91/Conversions!$B$4</f>
        <v>4.6094687449171548E-4</v>
      </c>
      <c r="K104" s="207">
        <f>K91/Conversions!$B$4</f>
        <v>3.817695818027258E-4</v>
      </c>
      <c r="L104" s="207">
        <f>L91/Conversions!$B$4</f>
        <v>2.72517193441174E-4</v>
      </c>
      <c r="M104" s="207">
        <f>M91/Conversions!$B$4</f>
        <v>2.3630432314155858E-4</v>
      </c>
    </row>
    <row r="105" spans="1:13" x14ac:dyDescent="0.25">
      <c r="B105"/>
    </row>
    <row r="106" spans="1:13" x14ac:dyDescent="0.25">
      <c r="A106" s="6"/>
    </row>
    <row r="107" spans="1:13" ht="21" x14ac:dyDescent="0.35">
      <c r="A107" s="42" t="s">
        <v>103</v>
      </c>
    </row>
    <row r="108" spans="1:13" ht="15" customHeight="1" x14ac:dyDescent="0.25">
      <c r="A108" s="67" t="s">
        <v>277</v>
      </c>
      <c r="B108" s="49"/>
      <c r="C108" s="49"/>
      <c r="D108" s="49"/>
      <c r="E108" s="49"/>
      <c r="F108" s="49"/>
      <c r="G108" s="49" t="s">
        <v>275</v>
      </c>
    </row>
    <row r="109" spans="1:13" ht="15" customHeight="1" x14ac:dyDescent="0.25">
      <c r="A109" s="67" t="s">
        <v>278</v>
      </c>
      <c r="B109" s="15"/>
      <c r="C109" s="15"/>
      <c r="D109" s="15"/>
      <c r="E109" s="15"/>
      <c r="F109" s="15"/>
      <c r="G109" s="15" t="s">
        <v>274</v>
      </c>
    </row>
    <row r="110" spans="1:13" ht="15" customHeight="1" x14ac:dyDescent="0.25">
      <c r="A110" s="67" t="s">
        <v>273</v>
      </c>
      <c r="B110" s="15"/>
      <c r="C110" s="15"/>
      <c r="D110" s="15"/>
      <c r="E110" s="15"/>
      <c r="F110" s="15"/>
      <c r="G110" s="15" t="s">
        <v>280</v>
      </c>
    </row>
    <row r="111" spans="1:13" ht="15" customHeight="1" x14ac:dyDescent="0.25">
      <c r="A111" s="68" t="s">
        <v>279</v>
      </c>
      <c r="B111" s="50"/>
      <c r="C111" s="50"/>
      <c r="D111" s="50"/>
      <c r="E111" s="50"/>
      <c r="F111" s="50"/>
      <c r="G111" s="50" t="s">
        <v>276</v>
      </c>
      <c r="H111" s="6"/>
    </row>
  </sheetData>
  <sheetProtection formatColumns="0" formatRows="0" insertColumns="0" insertRows="0" insertHyperlinks="0" deleteColumns="0" deleteRows="0" sort="0" autoFilter="0" pivotTables="0"/>
  <customSheetViews>
    <customSheetView guid="{A3E8C8DD-8C60-4C83-AE95-312CF58B6ABA}" topLeftCell="R39">
      <selection activeCell="AR62" sqref="AR62"/>
      <pageMargins left="0.7" right="0.7" top="0.75" bottom="0.75" header="0.3" footer="0.3"/>
      <pageSetup orientation="portrait" r:id="rId1"/>
      <headerFooter>
        <oddFooter>&amp;C&amp;A&amp;RPage &amp;P</oddFooter>
      </headerFooter>
    </customSheetView>
  </customSheetViews>
  <hyperlinks>
    <hyperlink ref="A108" r:id="rId2"/>
    <hyperlink ref="A109" r:id="rId3"/>
    <hyperlink ref="A110" r:id="rId4"/>
    <hyperlink ref="A111" r:id="rId5"/>
  </hyperlinks>
  <pageMargins left="0.7" right="0.7" top="0.75" bottom="0.75" header="0.3" footer="0.3"/>
  <pageSetup orientation="portrait" r:id="rId6"/>
  <headerFooter>
    <oddFooter>&amp;C&amp;A&amp;RPage &amp;P</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E9"/>
  <sheetViews>
    <sheetView workbookViewId="0">
      <selection activeCell="D37" sqref="D37"/>
    </sheetView>
  </sheetViews>
  <sheetFormatPr defaultRowHeight="15" x14ac:dyDescent="0.25"/>
  <cols>
    <col min="1" max="1" width="6.42578125" customWidth="1"/>
    <col min="2" max="2" width="11.5703125" bestFit="1" customWidth="1"/>
  </cols>
  <sheetData>
    <row r="1" spans="1:5" ht="18" x14ac:dyDescent="0.25">
      <c r="A1" s="323" t="s">
        <v>123</v>
      </c>
      <c r="B1" s="323"/>
      <c r="C1" s="323"/>
    </row>
    <row r="2" spans="1:5" x14ac:dyDescent="0.25">
      <c r="A2" s="7" t="s">
        <v>44</v>
      </c>
      <c r="B2" s="12" t="s">
        <v>48</v>
      </c>
      <c r="C2" s="7" t="s">
        <v>45</v>
      </c>
      <c r="E2" s="11"/>
    </row>
    <row r="3" spans="1:5" x14ac:dyDescent="0.25">
      <c r="A3" t="s">
        <v>46</v>
      </c>
      <c r="B3" s="13">
        <v>43560</v>
      </c>
      <c r="C3" t="s">
        <v>47</v>
      </c>
    </row>
    <row r="4" spans="1:5" x14ac:dyDescent="0.25">
      <c r="A4" t="s">
        <v>46</v>
      </c>
      <c r="B4" s="13">
        <v>325851</v>
      </c>
      <c r="C4" t="s">
        <v>0</v>
      </c>
    </row>
    <row r="5" spans="1:5" ht="17.25" x14ac:dyDescent="0.25">
      <c r="A5" t="s">
        <v>46</v>
      </c>
      <c r="B5" s="13">
        <v>1233.45</v>
      </c>
      <c r="C5" t="s">
        <v>294</v>
      </c>
    </row>
    <row r="6" spans="1:5" x14ac:dyDescent="0.25">
      <c r="A6" t="s">
        <v>47</v>
      </c>
      <c r="B6" s="13">
        <v>7.4805200000000003</v>
      </c>
      <c r="C6" t="s">
        <v>0</v>
      </c>
    </row>
    <row r="7" spans="1:5" ht="17.25" x14ac:dyDescent="0.25">
      <c r="A7" t="s">
        <v>47</v>
      </c>
      <c r="B7" s="13">
        <v>1233.45</v>
      </c>
      <c r="C7" t="s">
        <v>294</v>
      </c>
    </row>
    <row r="8" spans="1:5" ht="17.25" x14ac:dyDescent="0.25">
      <c r="A8" t="s">
        <v>294</v>
      </c>
      <c r="B8" s="13">
        <v>264.17200000000003</v>
      </c>
      <c r="C8" t="s">
        <v>0</v>
      </c>
    </row>
    <row r="9" spans="1:5" x14ac:dyDescent="0.25">
      <c r="A9" t="s">
        <v>106</v>
      </c>
    </row>
  </sheetData>
  <customSheetViews>
    <customSheetView guid="{A3E8C8DD-8C60-4C83-AE95-312CF58B6ABA}">
      <selection activeCell="B4" sqref="B4"/>
      <pageMargins left="0.7" right="0.7" top="0.75" bottom="0.75" header="0.3" footer="0.3"/>
    </customSheetView>
  </customSheetViews>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B14"/>
  <sheetViews>
    <sheetView workbookViewId="0">
      <selection activeCell="B37" sqref="B37"/>
    </sheetView>
  </sheetViews>
  <sheetFormatPr defaultRowHeight="15" x14ac:dyDescent="0.25"/>
  <cols>
    <col min="1" max="1" width="22.28515625" bestFit="1" customWidth="1"/>
    <col min="2" max="2" width="178.140625" bestFit="1" customWidth="1"/>
  </cols>
  <sheetData>
    <row r="1" spans="1:2" x14ac:dyDescent="0.25">
      <c r="A1" s="7" t="s">
        <v>23</v>
      </c>
      <c r="B1" s="7" t="s">
        <v>24</v>
      </c>
    </row>
    <row r="2" spans="1:2" x14ac:dyDescent="0.25">
      <c r="A2" s="8" t="s">
        <v>21</v>
      </c>
      <c r="B2" s="8" t="s">
        <v>25</v>
      </c>
    </row>
    <row r="3" spans="1:2" x14ac:dyDescent="0.25">
      <c r="A3" s="8" t="s">
        <v>26</v>
      </c>
      <c r="B3" s="8" t="s">
        <v>27</v>
      </c>
    </row>
    <row r="4" spans="1:2" x14ac:dyDescent="0.25">
      <c r="A4" s="8" t="s">
        <v>22</v>
      </c>
      <c r="B4" s="8" t="s">
        <v>28</v>
      </c>
    </row>
    <row r="5" spans="1:2" x14ac:dyDescent="0.25">
      <c r="A5" s="8" t="s">
        <v>14</v>
      </c>
      <c r="B5" s="8" t="s">
        <v>29</v>
      </c>
    </row>
    <row r="6" spans="1:2" x14ac:dyDescent="0.25">
      <c r="A6" s="8" t="s">
        <v>30</v>
      </c>
      <c r="B6" s="8" t="s">
        <v>32</v>
      </c>
    </row>
    <row r="7" spans="1:2" x14ac:dyDescent="0.25">
      <c r="A7" s="8" t="s">
        <v>31</v>
      </c>
      <c r="B7" s="8" t="s">
        <v>33</v>
      </c>
    </row>
    <row r="8" spans="1:2" x14ac:dyDescent="0.25">
      <c r="A8" s="8" t="s">
        <v>35</v>
      </c>
      <c r="B8" s="8" t="s">
        <v>34</v>
      </c>
    </row>
    <row r="9" spans="1:2" x14ac:dyDescent="0.25">
      <c r="A9" s="10" t="s">
        <v>43</v>
      </c>
      <c r="B9" s="8" t="s">
        <v>36</v>
      </c>
    </row>
    <row r="10" spans="1:2" x14ac:dyDescent="0.25">
      <c r="A10" s="10" t="s">
        <v>37</v>
      </c>
      <c r="B10" s="8" t="s">
        <v>40</v>
      </c>
    </row>
    <row r="11" spans="1:2" x14ac:dyDescent="0.25">
      <c r="A11" s="10" t="s">
        <v>38</v>
      </c>
      <c r="B11" s="8" t="s">
        <v>41</v>
      </c>
    </row>
    <row r="12" spans="1:2" x14ac:dyDescent="0.25">
      <c r="A12" s="10" t="s">
        <v>39</v>
      </c>
      <c r="B12" s="8" t="s">
        <v>42</v>
      </c>
    </row>
    <row r="14" spans="1:2" x14ac:dyDescent="0.25">
      <c r="A14" s="1"/>
      <c r="B14" s="1"/>
    </row>
  </sheetData>
  <customSheetViews>
    <customSheetView guid="{A3E8C8DD-8C60-4C83-AE95-312CF58B6ABA}">
      <selection activeCell="B37" sqref="B37"/>
      <pageMargins left="0.7" right="0.7" top="0.75" bottom="0.75" header="0.3" footer="0.3"/>
      <pageSetup orientation="portrait" r:id="rId1"/>
    </customSheetView>
  </customSheetView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1" tint="4.9989318521683403E-2"/>
  </sheetPr>
  <dimension ref="A1:Q64"/>
  <sheetViews>
    <sheetView topLeftCell="A4" workbookViewId="0">
      <selection activeCell="B12" sqref="B12:N12"/>
    </sheetView>
  </sheetViews>
  <sheetFormatPr defaultRowHeight="15" x14ac:dyDescent="0.25"/>
  <cols>
    <col min="1" max="1" width="32.140625" customWidth="1"/>
    <col min="2" max="3" width="22.5703125" customWidth="1"/>
    <col min="4" max="4" width="19.28515625" customWidth="1"/>
    <col min="5" max="5" width="19.7109375" style="2" customWidth="1"/>
    <col min="6" max="6" width="16.5703125" bestFit="1" customWidth="1"/>
    <col min="7" max="7" width="14.42578125" customWidth="1"/>
    <col min="8" max="9" width="16.5703125" bestFit="1" customWidth="1"/>
    <col min="10" max="10" width="16.5703125" style="2" bestFit="1" customWidth="1"/>
    <col min="11" max="12" width="16.5703125" bestFit="1" customWidth="1"/>
    <col min="13" max="13" width="15.28515625" customWidth="1"/>
    <col min="14" max="14" width="16.5703125" customWidth="1"/>
    <col min="15" max="15" width="11.5703125" bestFit="1" customWidth="1"/>
    <col min="16" max="16" width="9.5703125" customWidth="1"/>
  </cols>
  <sheetData>
    <row r="1" spans="1:17" ht="15.75" x14ac:dyDescent="0.25">
      <c r="A1" s="4" t="s">
        <v>49</v>
      </c>
    </row>
    <row r="2" spans="1:17" ht="15" customHeight="1" x14ac:dyDescent="0.25">
      <c r="A2" s="56" t="s">
        <v>50</v>
      </c>
      <c r="B2" s="57"/>
      <c r="D2" s="324" t="s">
        <v>76</v>
      </c>
      <c r="E2" s="325"/>
      <c r="G2" s="58" t="s">
        <v>87</v>
      </c>
      <c r="H2" s="59"/>
    </row>
    <row r="3" spans="1:17" ht="15" customHeight="1" x14ac:dyDescent="0.25">
      <c r="A3" s="26" t="s">
        <v>78</v>
      </c>
      <c r="B3" s="48">
        <f>'Entry Sheet'!B3</f>
        <v>0</v>
      </c>
      <c r="D3" s="61" t="s">
        <v>262</v>
      </c>
      <c r="E3" s="241">
        <f>'Entry Sheet'!E3</f>
        <v>0</v>
      </c>
      <c r="G3" s="24" t="s">
        <v>83</v>
      </c>
      <c r="H3" s="242">
        <f>TypeComStock1</f>
        <v>0</v>
      </c>
    </row>
    <row r="4" spans="1:17" ht="18.75" customHeight="1" x14ac:dyDescent="0.25">
      <c r="A4" s="25" t="s">
        <v>52</v>
      </c>
      <c r="B4" s="48">
        <f>'Entry Sheet'!B4</f>
        <v>0</v>
      </c>
      <c r="C4" s="2"/>
      <c r="D4" s="39" t="s">
        <v>90</v>
      </c>
      <c r="E4" s="242">
        <f>TypeCrop1</f>
        <v>0</v>
      </c>
      <c r="G4" s="24" t="s">
        <v>82</v>
      </c>
      <c r="H4" s="242">
        <f>NumComStock1</f>
        <v>0</v>
      </c>
      <c r="I4" s="2"/>
      <c r="J4"/>
    </row>
    <row r="5" spans="1:17" x14ac:dyDescent="0.25">
      <c r="A5" s="27" t="s">
        <v>80</v>
      </c>
      <c r="B5" s="60">
        <f>TypeStock1</f>
        <v>0</v>
      </c>
      <c r="C5" s="2"/>
      <c r="D5" s="39" t="s">
        <v>79</v>
      </c>
      <c r="E5" s="242">
        <f>NumCrop1</f>
        <v>0</v>
      </c>
      <c r="I5" s="2"/>
      <c r="J5"/>
    </row>
    <row r="6" spans="1:17" x14ac:dyDescent="0.25">
      <c r="A6" s="27" t="s">
        <v>81</v>
      </c>
      <c r="B6" s="48">
        <f>NumStock1</f>
        <v>0</v>
      </c>
      <c r="C6" s="19"/>
      <c r="E6"/>
      <c r="F6" s="18"/>
      <c r="G6" s="18"/>
      <c r="H6" s="18"/>
      <c r="I6" s="19"/>
      <c r="J6" s="18"/>
      <c r="K6" s="18"/>
      <c r="L6" s="18"/>
      <c r="M6" s="18"/>
      <c r="N6" s="18"/>
    </row>
    <row r="7" spans="1:17" x14ac:dyDescent="0.25">
      <c r="A7" s="27" t="s">
        <v>260</v>
      </c>
      <c r="B7" s="48">
        <f>'Entry Sheet'!B15</f>
        <v>0</v>
      </c>
      <c r="C7" s="19"/>
      <c r="D7" s="19"/>
      <c r="E7" s="18"/>
      <c r="F7" s="18"/>
      <c r="G7" s="18"/>
      <c r="H7" s="18"/>
      <c r="I7" s="19"/>
      <c r="J7" s="18"/>
      <c r="K7" s="18"/>
      <c r="L7" s="18"/>
      <c r="M7" s="18"/>
      <c r="N7" s="18"/>
    </row>
    <row r="8" spans="1:17" x14ac:dyDescent="0.25">
      <c r="A8" s="18"/>
      <c r="B8" s="17"/>
      <c r="C8" s="19"/>
      <c r="D8" s="19"/>
      <c r="E8" s="18"/>
      <c r="F8" s="18"/>
      <c r="G8" s="18"/>
      <c r="H8" s="18"/>
      <c r="I8" s="19"/>
      <c r="J8" s="18"/>
      <c r="K8" s="18"/>
      <c r="L8" s="18"/>
      <c r="M8" s="18"/>
      <c r="N8" s="18"/>
    </row>
    <row r="9" spans="1:17" x14ac:dyDescent="0.25">
      <c r="A9" s="37" t="s">
        <v>111</v>
      </c>
      <c r="B9" s="35"/>
      <c r="C9" s="36"/>
      <c r="D9" s="36"/>
      <c r="E9" s="37"/>
      <c r="F9" s="18"/>
      <c r="G9" s="18"/>
      <c r="H9" s="18"/>
      <c r="I9" s="19"/>
      <c r="J9" s="18"/>
      <c r="K9" s="18"/>
      <c r="L9" s="18"/>
      <c r="M9" s="18"/>
      <c r="N9" s="18"/>
    </row>
    <row r="10" spans="1:17" ht="18.75" x14ac:dyDescent="0.25">
      <c r="A10" s="38" t="s">
        <v>91</v>
      </c>
      <c r="B10" s="17"/>
      <c r="C10" s="19"/>
      <c r="D10" s="19"/>
      <c r="E10" s="18"/>
      <c r="F10" s="18"/>
      <c r="G10" s="18"/>
      <c r="H10" s="18"/>
      <c r="I10" s="19"/>
      <c r="J10" s="18"/>
      <c r="K10" s="18"/>
      <c r="L10" s="18"/>
      <c r="M10" s="18"/>
      <c r="N10" s="18"/>
    </row>
    <row r="11" spans="1:17" x14ac:dyDescent="0.25">
      <c r="A11" s="72" t="s">
        <v>84</v>
      </c>
      <c r="B11" s="73" t="s">
        <v>63</v>
      </c>
      <c r="C11" s="73" t="s">
        <v>64</v>
      </c>
      <c r="D11" s="73" t="s">
        <v>65</v>
      </c>
      <c r="E11" s="73" t="s">
        <v>66</v>
      </c>
      <c r="F11" s="73" t="s">
        <v>67</v>
      </c>
      <c r="G11" s="73" t="s">
        <v>68</v>
      </c>
      <c r="H11" s="73" t="s">
        <v>69</v>
      </c>
      <c r="I11" s="73" t="s">
        <v>70</v>
      </c>
      <c r="J11" s="73" t="s">
        <v>71</v>
      </c>
      <c r="K11" s="73" t="s">
        <v>72</v>
      </c>
      <c r="L11" s="73" t="s">
        <v>73</v>
      </c>
      <c r="M11" s="73" t="s">
        <v>74</v>
      </c>
      <c r="N11" s="74" t="s">
        <v>77</v>
      </c>
      <c r="O11" s="2"/>
      <c r="P11" s="3"/>
      <c r="Q11" s="2"/>
    </row>
    <row r="12" spans="1:17" x14ac:dyDescent="0.25">
      <c r="A12" s="75" t="s">
        <v>283</v>
      </c>
      <c r="B12" s="314">
        <f>IFERROR(IF(PlumbingType=Assumptions!$A$4,INDEX(Assumptions!$A$95:$M$104,MATCH(HydrologicRegion_Entry,Hydrologic_Region,0),COLUMN('Calculation Sheet 1'!$B$11))*Persons,INDEX(Assumptions!$A$3:$C$11,MATCH(PlumbingType,Assumptions!$A$3:$A$11,0),3)*Persons),0)</f>
        <v>0</v>
      </c>
      <c r="C12" s="314">
        <f>IFERROR(IF(PlumbingType=Assumptions!$A$4,INDEX(Assumptions!$A$95:$M$104,MATCH(HydrologicRegion_Entry,Hydrologic_Region,0),COLUMN('Calculation Sheet 1'!$B$11))*Persons,INDEX(Assumptions!$A$3:$C$11,MATCH(PlumbingType,Assumptions!$A$3:$A$11,0),3)*Persons),0)</f>
        <v>0</v>
      </c>
      <c r="D12" s="314">
        <f>IFERROR(IF(PlumbingType=Assumptions!$A$4,INDEX(Assumptions!$A$95:$M$104,MATCH(HydrologicRegion_Entry,Hydrologic_Region,0),COLUMN('Calculation Sheet 1'!$B$11))*Persons,INDEX(Assumptions!$A$3:$C$11,MATCH(PlumbingType,Assumptions!$A$3:$A$11,0),3)*Persons),0)</f>
        <v>0</v>
      </c>
      <c r="E12" s="314">
        <f>IFERROR(IF(PlumbingType=Assumptions!$A$4,INDEX(Assumptions!$A$95:$M$104,MATCH(HydrologicRegion_Entry,Hydrologic_Region,0),COLUMN('Calculation Sheet 1'!$B$11))*Persons,INDEX(Assumptions!$A$3:$C$11,MATCH(PlumbingType,Assumptions!$A$3:$A$11,0),3)*Persons),0)</f>
        <v>0</v>
      </c>
      <c r="F12" s="314">
        <f>IFERROR(IF(PlumbingType=Assumptions!$A$4,INDEX(Assumptions!$A$95:$M$104,MATCH(HydrologicRegion_Entry,Hydrologic_Region,0),COLUMN('Calculation Sheet 1'!$B$11))*Persons,INDEX(Assumptions!$A$3:$C$11,MATCH(PlumbingType,Assumptions!$A$3:$A$11,0),3)*Persons),0)</f>
        <v>0</v>
      </c>
      <c r="G12" s="314">
        <f>IFERROR(IF(PlumbingType=Assumptions!$A$4,INDEX(Assumptions!$A$95:$M$104,MATCH(HydrologicRegion_Entry,Hydrologic_Region,0),COLUMN('Calculation Sheet 1'!$B$11))*Persons,INDEX(Assumptions!$A$3:$C$11,MATCH(PlumbingType,Assumptions!$A$3:$A$11,0),3)*Persons),0)</f>
        <v>0</v>
      </c>
      <c r="H12" s="314">
        <f>IFERROR(IF(PlumbingType=Assumptions!$A$4,INDEX(Assumptions!$A$95:$M$104,MATCH(HydrologicRegion_Entry,Hydrologic_Region,0),COLUMN('Calculation Sheet 1'!$B$11))*Persons,INDEX(Assumptions!$A$3:$C$11,MATCH(PlumbingType,Assumptions!$A$3:$A$11,0),3)*Persons),0)</f>
        <v>0</v>
      </c>
      <c r="I12" s="314">
        <f>IFERROR(IF(PlumbingType=Assumptions!$A$4,INDEX(Assumptions!$A$95:$M$104,MATCH(HydrologicRegion_Entry,Hydrologic_Region,0),COLUMN('Calculation Sheet 1'!$B$11))*Persons,INDEX(Assumptions!$A$3:$C$11,MATCH(PlumbingType,Assumptions!$A$3:$A$11,0),3)*Persons),0)</f>
        <v>0</v>
      </c>
      <c r="J12" s="314">
        <f>IFERROR(IF(PlumbingType=Assumptions!$A$4,INDEX(Assumptions!$A$95:$M$104,MATCH(HydrologicRegion_Entry,Hydrologic_Region,0),COLUMN('Calculation Sheet 1'!$B$11))*Persons,INDEX(Assumptions!$A$3:$C$11,MATCH(PlumbingType,Assumptions!$A$3:$A$11,0),3)*Persons),0)</f>
        <v>0</v>
      </c>
      <c r="K12" s="314">
        <f>IFERROR(IF(PlumbingType=Assumptions!$A$4,INDEX(Assumptions!$A$95:$M$104,MATCH(HydrologicRegion_Entry,Hydrologic_Region,0),COLUMN('Calculation Sheet 1'!$B$11))*Persons,INDEX(Assumptions!$A$3:$C$11,MATCH(PlumbingType,Assumptions!$A$3:$A$11,0),3)*Persons),0)</f>
        <v>0</v>
      </c>
      <c r="L12" s="314">
        <f>IFERROR(IF(PlumbingType=Assumptions!$A$4,INDEX(Assumptions!$A$95:$M$104,MATCH(HydrologicRegion_Entry,Hydrologic_Region,0),COLUMN('Calculation Sheet 1'!$B$11))*Persons,INDEX(Assumptions!$A$3:$C$11,MATCH(PlumbingType,Assumptions!$A$3:$A$11,0),3)*Persons),0)</f>
        <v>0</v>
      </c>
      <c r="M12" s="314">
        <f>IFERROR(IF(PlumbingType=Assumptions!$A$4,INDEX(Assumptions!$A$95:$M$104,MATCH(HydrologicRegion_Entry,Hydrologic_Region,0),COLUMN('Calculation Sheet 1'!$B$11))*Persons,INDEX(Assumptions!$A$3:$C$11,MATCH(PlumbingType,Assumptions!$A$3:$A$11,0),3)*Persons),0)</f>
        <v>0</v>
      </c>
      <c r="N12" s="76">
        <f>SUM('Calculation Sheet 1'!$B12:$M12)</f>
        <v>0</v>
      </c>
      <c r="O12" s="2"/>
      <c r="P12" s="3"/>
      <c r="Q12" s="2"/>
    </row>
    <row r="13" spans="1:17" x14ac:dyDescent="0.25">
      <c r="A13" s="77" t="s">
        <v>88</v>
      </c>
      <c r="B13" s="78">
        <f>'Entry Sheet'!B26</f>
        <v>0</v>
      </c>
      <c r="C13" s="78">
        <f>'Entry Sheet'!C26</f>
        <v>0</v>
      </c>
      <c r="D13" s="78">
        <f>'Entry Sheet'!D26</f>
        <v>0</v>
      </c>
      <c r="E13" s="78">
        <f>'Entry Sheet'!E26</f>
        <v>0</v>
      </c>
      <c r="F13" s="78">
        <f>'Entry Sheet'!F26</f>
        <v>0</v>
      </c>
      <c r="G13" s="78">
        <f>'Entry Sheet'!G26</f>
        <v>0</v>
      </c>
      <c r="H13" s="78">
        <f>'Entry Sheet'!H26</f>
        <v>0</v>
      </c>
      <c r="I13" s="78">
        <f>'Entry Sheet'!I26</f>
        <v>0</v>
      </c>
      <c r="J13" s="78">
        <f>'Entry Sheet'!J26</f>
        <v>0</v>
      </c>
      <c r="K13" s="78">
        <f>'Entry Sheet'!K26</f>
        <v>0</v>
      </c>
      <c r="L13" s="78">
        <f>'Entry Sheet'!L26</f>
        <v>0</v>
      </c>
      <c r="M13" s="78">
        <f>'Entry Sheet'!M26</f>
        <v>0</v>
      </c>
      <c r="N13" s="79">
        <f>SUM('Calculation Sheet 1'!$B13:$M13)</f>
        <v>0</v>
      </c>
      <c r="O13" s="2"/>
      <c r="P13" s="3"/>
      <c r="Q13" s="2"/>
    </row>
    <row r="14" spans="1:17" x14ac:dyDescent="0.25">
      <c r="A14" s="77" t="s">
        <v>51</v>
      </c>
      <c r="B14" s="78">
        <f>'Entry Sheet'!B27</f>
        <v>0</v>
      </c>
      <c r="C14" s="78">
        <f>'Entry Sheet'!C27</f>
        <v>0</v>
      </c>
      <c r="D14" s="78">
        <f>'Entry Sheet'!D27</f>
        <v>0</v>
      </c>
      <c r="E14" s="78">
        <f>'Entry Sheet'!E27</f>
        <v>0</v>
      </c>
      <c r="F14" s="78">
        <f>'Entry Sheet'!F27</f>
        <v>0</v>
      </c>
      <c r="G14" s="78">
        <f>'Entry Sheet'!G27</f>
        <v>0</v>
      </c>
      <c r="H14" s="78">
        <f>'Entry Sheet'!H27</f>
        <v>0</v>
      </c>
      <c r="I14" s="78">
        <f>'Entry Sheet'!I27</f>
        <v>0</v>
      </c>
      <c r="J14" s="78">
        <f>'Entry Sheet'!J27</f>
        <v>0</v>
      </c>
      <c r="K14" s="78">
        <f>'Entry Sheet'!K27</f>
        <v>0</v>
      </c>
      <c r="L14" s="78">
        <f>'Entry Sheet'!L27</f>
        <v>0</v>
      </c>
      <c r="M14" s="78">
        <f>'Entry Sheet'!M27</f>
        <v>0</v>
      </c>
      <c r="N14" s="291"/>
      <c r="O14" s="2"/>
      <c r="P14" s="3"/>
      <c r="Q14" s="2"/>
    </row>
    <row r="15" spans="1:17" x14ac:dyDescent="0.25">
      <c r="A15" s="80" t="s">
        <v>109</v>
      </c>
      <c r="B15" s="81">
        <f t="shared" ref="B15:M15" si="0">B12*DaysDomestic</f>
        <v>0</v>
      </c>
      <c r="C15" s="81">
        <f t="shared" si="0"/>
        <v>0</v>
      </c>
      <c r="D15" s="81">
        <f>D12*DaysDomestic</f>
        <v>0</v>
      </c>
      <c r="E15" s="81">
        <f t="shared" si="0"/>
        <v>0</v>
      </c>
      <c r="F15" s="82">
        <f t="shared" si="0"/>
        <v>0</v>
      </c>
      <c r="G15" s="81">
        <f t="shared" si="0"/>
        <v>0</v>
      </c>
      <c r="H15" s="81">
        <f t="shared" si="0"/>
        <v>0</v>
      </c>
      <c r="I15" s="81">
        <f t="shared" si="0"/>
        <v>0</v>
      </c>
      <c r="J15" s="81">
        <f t="shared" si="0"/>
        <v>0</v>
      </c>
      <c r="K15" s="81">
        <f t="shared" si="0"/>
        <v>0</v>
      </c>
      <c r="L15" s="81">
        <f t="shared" si="0"/>
        <v>0</v>
      </c>
      <c r="M15" s="81">
        <f t="shared" si="0"/>
        <v>0</v>
      </c>
      <c r="N15" s="83">
        <f>SUM('Calculation Sheet 1'!$B15:$M15)</f>
        <v>0</v>
      </c>
      <c r="O15" s="2"/>
      <c r="P15" s="3"/>
      <c r="Q15" s="2"/>
    </row>
    <row r="16" spans="1:17" x14ac:dyDescent="0.25">
      <c r="A16" s="84" t="s">
        <v>98</v>
      </c>
      <c r="B16" s="85">
        <f>IFERROR(INDEX(Assumptions!$A$26:$B$31,MATCH(EntryStock,TypeStockD,0),2),0)</f>
        <v>0</v>
      </c>
      <c r="C16" s="85">
        <f>IFERROR(INDEX(Assumptions!$A$26:$B$31,MATCH(EntryStock,TypeStockD,0),2),0)</f>
        <v>0</v>
      </c>
      <c r="D16" s="85">
        <f>IFERROR(INDEX(Assumptions!$A$26:$B$31,MATCH(EntryStock,TypeStockD,0),2),0)</f>
        <v>0</v>
      </c>
      <c r="E16" s="85">
        <f>IFERROR(INDEX(Assumptions!$A$26:$B$31,MATCH(EntryStock,TypeStockD,0),2),0)</f>
        <v>0</v>
      </c>
      <c r="F16" s="85">
        <f>IFERROR(INDEX(Assumptions!$A$26:$B$31,MATCH(EntryStock,TypeStockD,0),2),0)</f>
        <v>0</v>
      </c>
      <c r="G16" s="85">
        <f>IFERROR(INDEX(Assumptions!$A$26:$B$31,MATCH(EntryStock,TypeStockD,0),2),0)</f>
        <v>0</v>
      </c>
      <c r="H16" s="85">
        <f>IFERROR(INDEX(Assumptions!$A$26:$B$31,MATCH(EntryStock,TypeStockD,0),2),0)</f>
        <v>0</v>
      </c>
      <c r="I16" s="85">
        <f>IFERROR(INDEX(Assumptions!$A$26:$B$31,MATCH(EntryStock,TypeStockD,0),2),0)</f>
        <v>0</v>
      </c>
      <c r="J16" s="85">
        <f>IFERROR(INDEX(Assumptions!$A$26:$B$31,MATCH(EntryStock,TypeStockD,0),2),0)</f>
        <v>0</v>
      </c>
      <c r="K16" s="85">
        <f>IFERROR(INDEX(Assumptions!$A$26:$B$31,MATCH(EntryStock,TypeStockD,0),2),0)</f>
        <v>0</v>
      </c>
      <c r="L16" s="85">
        <f>IFERROR(INDEX(Assumptions!$A$26:$B$31,MATCH(EntryStock,TypeStockD,0),2),0)</f>
        <v>0</v>
      </c>
      <c r="M16" s="85">
        <f>IFERROR(INDEX(Assumptions!$A$26:$B$31,MATCH(EntryStock,TypeStockD,0),2),0)</f>
        <v>0</v>
      </c>
      <c r="N16" s="86">
        <f>SUM('Calculation Sheet 1'!$B16:$M16)</f>
        <v>0</v>
      </c>
      <c r="O16" s="2"/>
      <c r="P16" s="3"/>
      <c r="Q16" s="2"/>
    </row>
    <row r="17" spans="1:17" s="14" customFormat="1" x14ac:dyDescent="0.25">
      <c r="A17" s="80" t="s">
        <v>89</v>
      </c>
      <c r="B17" s="78">
        <f>'Entry Sheet'!B28</f>
        <v>0</v>
      </c>
      <c r="C17" s="78">
        <f>'Entry Sheet'!C28</f>
        <v>0</v>
      </c>
      <c r="D17" s="78">
        <f>'Entry Sheet'!D28</f>
        <v>0</v>
      </c>
      <c r="E17" s="78">
        <f>'Entry Sheet'!E28</f>
        <v>0</v>
      </c>
      <c r="F17" s="78">
        <f>'Entry Sheet'!F28</f>
        <v>0</v>
      </c>
      <c r="G17" s="78">
        <f>'Entry Sheet'!G28</f>
        <v>0</v>
      </c>
      <c r="H17" s="78">
        <f>'Entry Sheet'!H28</f>
        <v>0</v>
      </c>
      <c r="I17" s="78">
        <f>'Entry Sheet'!I28</f>
        <v>0</v>
      </c>
      <c r="J17" s="78">
        <f>'Entry Sheet'!J28</f>
        <v>0</v>
      </c>
      <c r="K17" s="78">
        <f>'Entry Sheet'!K28</f>
        <v>0</v>
      </c>
      <c r="L17" s="78">
        <f>'Entry Sheet'!L28</f>
        <v>0</v>
      </c>
      <c r="M17" s="78">
        <f>'Entry Sheet'!M28</f>
        <v>0</v>
      </c>
      <c r="N17" s="87">
        <f>SUM('Calculation Sheet 1'!$B17:$M17)</f>
        <v>0</v>
      </c>
      <c r="O17" s="16"/>
      <c r="P17" s="20"/>
      <c r="Q17" s="16"/>
    </row>
    <row r="18" spans="1:17" s="14" customFormat="1" x14ac:dyDescent="0.25">
      <c r="A18" s="77" t="s">
        <v>110</v>
      </c>
      <c r="B18" s="88">
        <f>Stock*B$16*DaysStockwatering1/Conversions!$B$4</f>
        <v>0</v>
      </c>
      <c r="C18" s="88">
        <f>Stock*C$16*DaysStockwatering1/Conversions!$B$4</f>
        <v>0</v>
      </c>
      <c r="D18" s="88">
        <f>Stock*D$16*DaysStockwatering1/Conversions!$B$4</f>
        <v>0</v>
      </c>
      <c r="E18" s="88">
        <f>Stock*E$16*DaysStockwatering1/Conversions!$B$4</f>
        <v>0</v>
      </c>
      <c r="F18" s="88">
        <f>Stock*F$16*DaysStockwatering1/Conversions!$B$4</f>
        <v>0</v>
      </c>
      <c r="G18" s="88">
        <f>Stock*G$16*DaysStockwatering1/Conversions!$B$4</f>
        <v>0</v>
      </c>
      <c r="H18" s="88">
        <f>Stock*H$16*DaysStockwatering1/Conversions!$B$4</f>
        <v>0</v>
      </c>
      <c r="I18" s="88">
        <f>Stock*I$16*DaysStockwatering1/Conversions!$B$4</f>
        <v>0</v>
      </c>
      <c r="J18" s="88">
        <f>Stock*J$16*DaysStockwatering1/Conversions!$B$4</f>
        <v>0</v>
      </c>
      <c r="K18" s="88">
        <f>Stock*K$16*DaysStockwatering1/Conversions!$B$4</f>
        <v>0</v>
      </c>
      <c r="L18" s="88">
        <f>Stock*L$16*DaysStockwatering1/Conversions!$B$4</f>
        <v>0</v>
      </c>
      <c r="M18" s="88">
        <f>Stock*M$16*DaysStockwatering1/Conversions!$B$4</f>
        <v>0</v>
      </c>
      <c r="N18" s="86">
        <f>SUM('Calculation Sheet 1'!$B18:$M18)</f>
        <v>0</v>
      </c>
      <c r="O18" s="16"/>
      <c r="P18" s="20"/>
      <c r="Q18" s="16"/>
    </row>
    <row r="19" spans="1:17" x14ac:dyDescent="0.25">
      <c r="A19" s="89" t="s">
        <v>261</v>
      </c>
      <c r="B19" s="297">
        <f t="shared" ref="B19:M19" si="1">GardenRate</f>
        <v>0.185</v>
      </c>
      <c r="C19" s="297">
        <f t="shared" si="1"/>
        <v>0.185</v>
      </c>
      <c r="D19" s="297">
        <f t="shared" si="1"/>
        <v>0.185</v>
      </c>
      <c r="E19" s="297">
        <f t="shared" si="1"/>
        <v>0.185</v>
      </c>
      <c r="F19" s="297">
        <f t="shared" si="1"/>
        <v>0.185</v>
      </c>
      <c r="G19" s="297">
        <f t="shared" si="1"/>
        <v>0.185</v>
      </c>
      <c r="H19" s="297">
        <f t="shared" si="1"/>
        <v>0.185</v>
      </c>
      <c r="I19" s="297">
        <f t="shared" si="1"/>
        <v>0.185</v>
      </c>
      <c r="J19" s="297">
        <f t="shared" si="1"/>
        <v>0.185</v>
      </c>
      <c r="K19" s="297">
        <f t="shared" si="1"/>
        <v>0.185</v>
      </c>
      <c r="L19" s="297">
        <f t="shared" si="1"/>
        <v>0.185</v>
      </c>
      <c r="M19" s="297">
        <f t="shared" si="1"/>
        <v>0.185</v>
      </c>
      <c r="N19" s="83">
        <f>SUM('Calculation Sheet 1'!$B19:$M19)</f>
        <v>2.2200000000000002</v>
      </c>
      <c r="O19" s="2"/>
      <c r="P19" s="3"/>
      <c r="Q19" s="2"/>
    </row>
    <row r="20" spans="1:17" s="14" customFormat="1" x14ac:dyDescent="0.25">
      <c r="A20" s="90" t="s">
        <v>94</v>
      </c>
      <c r="B20" s="78">
        <f>'Entry Sheet'!B33</f>
        <v>0</v>
      </c>
      <c r="C20" s="78">
        <f>'Entry Sheet'!C33</f>
        <v>0</v>
      </c>
      <c r="D20" s="78">
        <f>'Entry Sheet'!D33</f>
        <v>0</v>
      </c>
      <c r="E20" s="78">
        <f>'Entry Sheet'!E33</f>
        <v>0</v>
      </c>
      <c r="F20" s="78">
        <f>'Entry Sheet'!F33</f>
        <v>0</v>
      </c>
      <c r="G20" s="78">
        <f>'Entry Sheet'!G33</f>
        <v>0</v>
      </c>
      <c r="H20" s="78">
        <f>'Entry Sheet'!H33</f>
        <v>0</v>
      </c>
      <c r="I20" s="78">
        <f>'Entry Sheet'!I33</f>
        <v>0</v>
      </c>
      <c r="J20" s="78">
        <f>'Entry Sheet'!J33</f>
        <v>0</v>
      </c>
      <c r="K20" s="78">
        <f>'Entry Sheet'!K33</f>
        <v>0</v>
      </c>
      <c r="L20" s="78">
        <f>'Entry Sheet'!L33</f>
        <v>0</v>
      </c>
      <c r="M20" s="78">
        <f>'Entry Sheet'!M33</f>
        <v>0</v>
      </c>
      <c r="N20" s="79">
        <f>SUM('Calculation Sheet 1'!$B20:$M20)</f>
        <v>0</v>
      </c>
      <c r="O20" s="16"/>
      <c r="P20" s="20"/>
      <c r="Q20" s="16"/>
    </row>
    <row r="21" spans="1:17" s="14" customFormat="1" x14ac:dyDescent="0.25">
      <c r="A21" s="91" t="s">
        <v>95</v>
      </c>
      <c r="B21" s="81">
        <f>Days_Irrigated1*B$19/Conversions!$B$4*Irrigation_Area1</f>
        <v>0</v>
      </c>
      <c r="C21" s="81">
        <f>Days_Irrigated1*C$19/Conversions!$B$4*Irrigation_Area1</f>
        <v>0</v>
      </c>
      <c r="D21" s="81">
        <f>Days_Irrigated1*D$19/Conversions!$B$4*Irrigation_Area1</f>
        <v>0</v>
      </c>
      <c r="E21" s="81">
        <f>Days_Irrigated1*E$19/Conversions!$B$4*Irrigation_Area1</f>
        <v>0</v>
      </c>
      <c r="F21" s="81">
        <f>Days_Irrigated1*F$19/Conversions!$B$4*Irrigation_Area1</f>
        <v>0</v>
      </c>
      <c r="G21" s="81">
        <f>Days_Irrigated1*G$19/Conversions!$B$4*Irrigation_Area1</f>
        <v>0</v>
      </c>
      <c r="H21" s="81">
        <f>Days_Irrigated1*H$19/Conversions!$B$4*Irrigation_Area1</f>
        <v>0</v>
      </c>
      <c r="I21" s="81">
        <f>Days_Irrigated1*I$19/Conversions!$B$4*Irrigation_Area1</f>
        <v>0</v>
      </c>
      <c r="J21" s="81">
        <f>Days_Irrigated1*J$19/Conversions!$B$4*Irrigation_Area1</f>
        <v>0</v>
      </c>
      <c r="K21" s="81">
        <f>Days_Irrigated1*K$19/Conversions!$B$4*Irrigation_Area1</f>
        <v>0</v>
      </c>
      <c r="L21" s="81">
        <f>Days_Irrigated1*L$19/Conversions!$B$4*Irrigation_Area1</f>
        <v>0</v>
      </c>
      <c r="M21" s="81">
        <f>Days_Irrigated1*M$19/Conversions!$B$4*Irrigation_Area1</f>
        <v>0</v>
      </c>
      <c r="N21" s="83">
        <f>SUM('Calculation Sheet 1'!$B21:$M21)</f>
        <v>0</v>
      </c>
      <c r="O21" s="16"/>
      <c r="P21" s="20"/>
      <c r="Q21" s="16"/>
    </row>
    <row r="22" spans="1:17" ht="15.75" x14ac:dyDescent="0.25">
      <c r="A22" s="92" t="s">
        <v>107</v>
      </c>
      <c r="B22" s="93">
        <f>SUMIF($A$12:$A$21, "*AF*",B$12:$B$21)</f>
        <v>0</v>
      </c>
      <c r="C22" s="93">
        <f>SUMIF($A$12:$A$21, "*AF*",C$12:C$21)</f>
        <v>0</v>
      </c>
      <c r="D22" s="93">
        <f t="shared" ref="D22:M22" si="2">SUMIF($A$12:$A$21, "*AF*",D$12:D$21)</f>
        <v>0</v>
      </c>
      <c r="E22" s="93">
        <f t="shared" si="2"/>
        <v>0</v>
      </c>
      <c r="F22" s="93">
        <f t="shared" si="2"/>
        <v>0</v>
      </c>
      <c r="G22" s="93">
        <f t="shared" si="2"/>
        <v>0</v>
      </c>
      <c r="H22" s="93">
        <f t="shared" si="2"/>
        <v>0</v>
      </c>
      <c r="I22" s="93">
        <f t="shared" si="2"/>
        <v>0</v>
      </c>
      <c r="J22" s="93">
        <f t="shared" si="2"/>
        <v>0</v>
      </c>
      <c r="K22" s="93">
        <f t="shared" si="2"/>
        <v>0</v>
      </c>
      <c r="L22" s="93">
        <f t="shared" si="2"/>
        <v>0</v>
      </c>
      <c r="M22" s="93">
        <f t="shared" si="2"/>
        <v>0</v>
      </c>
      <c r="N22" s="296">
        <f>SUM('Calculation Sheet 1'!$B22:$M22)</f>
        <v>0</v>
      </c>
    </row>
    <row r="23" spans="1:17" ht="15.75" x14ac:dyDescent="0.25">
      <c r="A23" s="94" t="s">
        <v>108</v>
      </c>
      <c r="B23" s="301">
        <f>B22*Conversions!$B$4</f>
        <v>0</v>
      </c>
      <c r="C23" s="301">
        <f>C22*Conversions!$B$4</f>
        <v>0</v>
      </c>
      <c r="D23" s="301">
        <f>D22*Conversions!$B$4</f>
        <v>0</v>
      </c>
      <c r="E23" s="301">
        <f>E22*Conversions!$B$4</f>
        <v>0</v>
      </c>
      <c r="F23" s="301">
        <f>F22*Conversions!$B$4</f>
        <v>0</v>
      </c>
      <c r="G23" s="301">
        <f>G22*Conversions!$B$4</f>
        <v>0</v>
      </c>
      <c r="H23" s="301">
        <f>H22*Conversions!$B$4</f>
        <v>0</v>
      </c>
      <c r="I23" s="301">
        <f>I22*Conversions!$B$4</f>
        <v>0</v>
      </c>
      <c r="J23" s="301">
        <f>J22*Conversions!$B$4</f>
        <v>0</v>
      </c>
      <c r="K23" s="301">
        <f>K22*Conversions!$B$4</f>
        <v>0</v>
      </c>
      <c r="L23" s="301">
        <f>L22*Conversions!$B$4</f>
        <v>0</v>
      </c>
      <c r="M23" s="301">
        <f>M22*Conversions!$B$4</f>
        <v>0</v>
      </c>
      <c r="N23" s="95">
        <f>SUM('Calculation Sheet 1'!$B23:$M23)</f>
        <v>0</v>
      </c>
    </row>
    <row r="24" spans="1:17" x14ac:dyDescent="0.25">
      <c r="B24" s="2"/>
      <c r="C24" s="2"/>
      <c r="D24" s="2"/>
      <c r="F24" s="2"/>
      <c r="G24" s="2"/>
      <c r="H24" s="2"/>
      <c r="I24" s="2"/>
      <c r="K24" s="2"/>
      <c r="L24" s="2"/>
      <c r="M24" s="2"/>
      <c r="N24" s="2"/>
    </row>
    <row r="25" spans="1:17" ht="18.75" x14ac:dyDescent="0.3">
      <c r="A25" s="22" t="s">
        <v>92</v>
      </c>
      <c r="B25" s="19"/>
      <c r="C25" s="19"/>
      <c r="D25" s="19"/>
      <c r="E25" s="19"/>
      <c r="F25" s="19"/>
      <c r="G25" s="19"/>
      <c r="H25" s="19"/>
      <c r="I25" s="19"/>
      <c r="J25" s="19"/>
      <c r="K25" s="19"/>
      <c r="L25" s="19"/>
      <c r="M25" s="19"/>
      <c r="N25" s="19"/>
      <c r="O25" s="2"/>
      <c r="P25" s="3"/>
      <c r="Q25" s="2"/>
    </row>
    <row r="26" spans="1:17" ht="15.75" thickBot="1" x14ac:dyDescent="0.3">
      <c r="A26" s="96" t="s">
        <v>84</v>
      </c>
      <c r="B26" s="97" t="s">
        <v>63</v>
      </c>
      <c r="C26" s="97" t="s">
        <v>64</v>
      </c>
      <c r="D26" s="97" t="s">
        <v>65</v>
      </c>
      <c r="E26" s="97" t="s">
        <v>66</v>
      </c>
      <c r="F26" s="97" t="s">
        <v>67</v>
      </c>
      <c r="G26" s="97" t="s">
        <v>68</v>
      </c>
      <c r="H26" s="97" t="s">
        <v>69</v>
      </c>
      <c r="I26" s="97" t="s">
        <v>70</v>
      </c>
      <c r="J26" s="97" t="s">
        <v>71</v>
      </c>
      <c r="K26" s="97" t="s">
        <v>72</v>
      </c>
      <c r="L26" s="97" t="s">
        <v>73</v>
      </c>
      <c r="M26" s="97" t="s">
        <v>74</v>
      </c>
      <c r="N26" s="98" t="s">
        <v>77</v>
      </c>
      <c r="O26" s="2"/>
      <c r="P26" s="3"/>
      <c r="Q26" s="2"/>
    </row>
    <row r="27" spans="1:17" ht="15.75" thickTop="1" x14ac:dyDescent="0.25">
      <c r="A27" s="99" t="s">
        <v>263</v>
      </c>
      <c r="B27" s="100">
        <f>IFERROR(IF(INDEX(Assumptions!$A$35:$BG$55,MATCH($E$4,Irrigation_Crop,0),MATCH($E$3,IrrigationCounty,0))=0,INDEX(Assumptions!$A$35:$BG$55,MATCH($E$4,Irrigation_Crop,0),COLUMN(Assumptions!$BG$34)),INDEX(Assumptions!$A$35:$BG$55,MATCH($E$4,Irrigation_Crop,0),MATCH($E$3,IrrigationCounty,0))),0)</f>
        <v>0</v>
      </c>
      <c r="C27" s="100">
        <f>IFERROR(IF(INDEX(Assumptions!$A$35:$BG$55,MATCH($E$4,Irrigation_Crop,0),MATCH($E$3,IrrigationCounty,0))=0,INDEX(Assumptions!$A$35:$BG$55,MATCH($E$4,Irrigation_Crop,0),COLUMN(Assumptions!$BG$34)),INDEX(Assumptions!$A$35:$BG$55,MATCH($E$4,Irrigation_Crop,0),MATCH($E$3,IrrigationCounty,0))),0)</f>
        <v>0</v>
      </c>
      <c r="D27" s="100">
        <f>IFERROR(IF(INDEX(Assumptions!$A$35:$BG$55,MATCH($E$4,Irrigation_Crop,0),MATCH($E$3,IrrigationCounty,0))=0,INDEX(Assumptions!$A$35:$BG$55,MATCH($E$4,Irrigation_Crop,0),COLUMN(Assumptions!$BG$34)),INDEX(Assumptions!$A$35:$BG$55,MATCH($E$4,Irrigation_Crop,0),MATCH($E$3,IrrigationCounty,0))),0)</f>
        <v>0</v>
      </c>
      <c r="E27" s="100">
        <f>IFERROR(IF(INDEX(Assumptions!$A$35:$BG$55,MATCH($E$4,Irrigation_Crop,0),MATCH($E$3,IrrigationCounty,0))=0,INDEX(Assumptions!$A$35:$BG$55,MATCH($E$4,Irrigation_Crop,0),COLUMN(Assumptions!$BG$34)),INDEX(Assumptions!$A$35:$BG$55,MATCH($E$4,Irrigation_Crop,0),MATCH($E$3,IrrigationCounty,0))),0)</f>
        <v>0</v>
      </c>
      <c r="F27" s="100">
        <f>IFERROR(IF(INDEX(Assumptions!$A$35:$BG$55,MATCH($E$4,Irrigation_Crop,0),MATCH($E$3,IrrigationCounty,0))=0,INDEX(Assumptions!$A$35:$BG$55,MATCH($E$4,Irrigation_Crop,0),COLUMN(Assumptions!$BG$34)),INDEX(Assumptions!$A$35:$BG$55,MATCH($E$4,Irrigation_Crop,0),MATCH($E$3,IrrigationCounty,0))),0)</f>
        <v>0</v>
      </c>
      <c r="G27" s="100">
        <f>IFERROR(IF(INDEX(Assumptions!$A$35:$BG$55,MATCH($E$4,Irrigation_Crop,0),MATCH($E$3,IrrigationCounty,0))=0,INDEX(Assumptions!$A$35:$BG$55,MATCH($E$4,Irrigation_Crop,0),COLUMN(Assumptions!$BG$34)),INDEX(Assumptions!$A$35:$BG$55,MATCH($E$4,Irrigation_Crop,0),MATCH($E$3,IrrigationCounty,0))),0)</f>
        <v>0</v>
      </c>
      <c r="H27" s="100">
        <f>IFERROR(IF(INDEX(Assumptions!$A$35:$BG$55,MATCH($E$4,Irrigation_Crop,0),MATCH($E$3,IrrigationCounty,0))=0,INDEX(Assumptions!$A$35:$BG$55,MATCH($E$4,Irrigation_Crop,0),COLUMN(Assumptions!$BG$34)),INDEX(Assumptions!$A$35:$BG$55,MATCH($E$4,Irrigation_Crop,0),MATCH($E$3,IrrigationCounty,0))),0)</f>
        <v>0</v>
      </c>
      <c r="I27" s="100">
        <f>IFERROR(IF(INDEX(Assumptions!$A$35:$BG$55,MATCH($E$4,Irrigation_Crop,0),MATCH($E$3,IrrigationCounty,0))=0,INDEX(Assumptions!$A$35:$BG$55,MATCH($E$4,Irrigation_Crop,0),COLUMN(Assumptions!$BG$34)),INDEX(Assumptions!$A$35:$BG$55,MATCH($E$4,Irrigation_Crop,0),MATCH($E$3,IrrigationCounty,0))),0)</f>
        <v>0</v>
      </c>
      <c r="J27" s="100">
        <f>IFERROR(IF(INDEX(Assumptions!$A$35:$BG$55,MATCH($E$4,Irrigation_Crop,0),MATCH($E$3,IrrigationCounty,0))=0,INDEX(Assumptions!$A$35:$BG$55,MATCH($E$4,Irrigation_Crop,0),COLUMN(Assumptions!$BG$34)),INDEX(Assumptions!$A$35:$BG$55,MATCH($E$4,Irrigation_Crop,0),MATCH($E$3,IrrigationCounty,0))),0)</f>
        <v>0</v>
      </c>
      <c r="K27" s="100">
        <f>IFERROR(IF(INDEX(Assumptions!$A$35:$BG$55,MATCH($E$4,Irrigation_Crop,0),MATCH($E$3,IrrigationCounty,0))=0,INDEX(Assumptions!$A$35:$BG$55,MATCH($E$4,Irrigation_Crop,0),COLUMN(Assumptions!$BG$34)),INDEX(Assumptions!$A$35:$BG$55,MATCH($E$4,Irrigation_Crop,0),MATCH($E$3,IrrigationCounty,0))),0)</f>
        <v>0</v>
      </c>
      <c r="L27" s="100">
        <f>IFERROR(IF(INDEX(Assumptions!$A$35:$BG$55,MATCH($E$4,Irrigation_Crop,0),MATCH($E$3,IrrigationCounty,0))=0,INDEX(Assumptions!$A$35:$BG$55,MATCH($E$4,Irrigation_Crop,0),COLUMN(Assumptions!$BG$34)),INDEX(Assumptions!$A$35:$BG$55,MATCH($E$4,Irrigation_Crop,0),MATCH($E$3,IrrigationCounty,0))),0)</f>
        <v>0</v>
      </c>
      <c r="M27" s="100">
        <f>IFERROR(IF(INDEX(Assumptions!$A$35:$BG$55,MATCH($E$4,Irrigation_Crop,0),MATCH($E$3,IrrigationCounty,0))=0,INDEX(Assumptions!$A$35:$BG$55,MATCH($E$4,Irrigation_Crop,0),COLUMN(Assumptions!$BG$34)),INDEX(Assumptions!$A$35:$BG$55,MATCH($E$4,Irrigation_Crop,0),MATCH($E$3,IrrigationCounty,0))),0)</f>
        <v>0</v>
      </c>
      <c r="N27" s="101"/>
      <c r="O27" s="2"/>
      <c r="P27" s="3"/>
      <c r="Q27" s="2"/>
    </row>
    <row r="28" spans="1:17" x14ac:dyDescent="0.25">
      <c r="A28" s="102" t="s">
        <v>85</v>
      </c>
      <c r="B28" s="78">
        <f>'Entry Sheet'!B37</f>
        <v>0</v>
      </c>
      <c r="C28" s="78">
        <f>'Entry Sheet'!C37</f>
        <v>0</v>
      </c>
      <c r="D28" s="78">
        <f>'Entry Sheet'!D37</f>
        <v>0</v>
      </c>
      <c r="E28" s="78">
        <f>'Entry Sheet'!E37</f>
        <v>0</v>
      </c>
      <c r="F28" s="78">
        <f>'Entry Sheet'!F37</f>
        <v>0</v>
      </c>
      <c r="G28" s="78">
        <f>'Entry Sheet'!G37</f>
        <v>0</v>
      </c>
      <c r="H28" s="78">
        <f>'Entry Sheet'!H37</f>
        <v>0</v>
      </c>
      <c r="I28" s="78">
        <f>'Entry Sheet'!I37</f>
        <v>0</v>
      </c>
      <c r="J28" s="78">
        <f>'Entry Sheet'!J37</f>
        <v>0</v>
      </c>
      <c r="K28" s="78">
        <f>'Entry Sheet'!K37</f>
        <v>0</v>
      </c>
      <c r="L28" s="78">
        <f>'Entry Sheet'!L37</f>
        <v>0</v>
      </c>
      <c r="M28" s="78">
        <f>'Entry Sheet'!M37</f>
        <v>0</v>
      </c>
      <c r="N28" s="103">
        <f>SUM('Calculation Sheet 1'!$B28:$M28)</f>
        <v>0</v>
      </c>
      <c r="O28" s="2"/>
      <c r="P28" s="3"/>
      <c r="Q28" s="2"/>
    </row>
    <row r="29" spans="1:17" ht="15.75" x14ac:dyDescent="0.25">
      <c r="A29" s="104" t="s">
        <v>270</v>
      </c>
      <c r="B29" s="105">
        <f t="shared" ref="B29:M29" si="3">Irrigation_Area2*Days_Irrigated2*B$27</f>
        <v>0</v>
      </c>
      <c r="C29" s="105">
        <f t="shared" si="3"/>
        <v>0</v>
      </c>
      <c r="D29" s="105">
        <f t="shared" si="3"/>
        <v>0</v>
      </c>
      <c r="E29" s="105">
        <f t="shared" si="3"/>
        <v>0</v>
      </c>
      <c r="F29" s="105">
        <f t="shared" si="3"/>
        <v>0</v>
      </c>
      <c r="G29" s="105">
        <f t="shared" si="3"/>
        <v>0</v>
      </c>
      <c r="H29" s="105">
        <f t="shared" si="3"/>
        <v>0</v>
      </c>
      <c r="I29" s="105">
        <f t="shared" si="3"/>
        <v>0</v>
      </c>
      <c r="J29" s="105">
        <f t="shared" si="3"/>
        <v>0</v>
      </c>
      <c r="K29" s="105">
        <f t="shared" si="3"/>
        <v>0</v>
      </c>
      <c r="L29" s="105">
        <f t="shared" si="3"/>
        <v>0</v>
      </c>
      <c r="M29" s="105">
        <f t="shared" si="3"/>
        <v>0</v>
      </c>
      <c r="N29" s="106">
        <f>SUM('Calculation Sheet 1'!$B29:$M29)</f>
        <v>0</v>
      </c>
      <c r="O29" s="2"/>
      <c r="P29" s="3"/>
      <c r="Q29" s="2"/>
    </row>
    <row r="30" spans="1:17" ht="15.75" x14ac:dyDescent="0.25">
      <c r="A30" s="104" t="s">
        <v>271</v>
      </c>
      <c r="B30" s="243">
        <f>B29*Conversions!$B$4</f>
        <v>0</v>
      </c>
      <c r="C30" s="243">
        <f>C29*Conversions!$B$4</f>
        <v>0</v>
      </c>
      <c r="D30" s="243">
        <f>D29*Conversions!$B$4</f>
        <v>0</v>
      </c>
      <c r="E30" s="243">
        <f>E29*Conversions!$B$4</f>
        <v>0</v>
      </c>
      <c r="F30" s="243">
        <f>F29*Conversions!$B$4</f>
        <v>0</v>
      </c>
      <c r="G30" s="243">
        <f>G29*Conversions!$B$4</f>
        <v>0</v>
      </c>
      <c r="H30" s="243">
        <f>H29*Conversions!$B$4</f>
        <v>0</v>
      </c>
      <c r="I30" s="243">
        <f>I29*Conversions!$B$4</f>
        <v>0</v>
      </c>
      <c r="J30" s="243">
        <f>J29*Conversions!$B$4</f>
        <v>0</v>
      </c>
      <c r="K30" s="243">
        <f>K29*Conversions!$B$4</f>
        <v>0</v>
      </c>
      <c r="L30" s="243">
        <f>L29*Conversions!$B$4</f>
        <v>0</v>
      </c>
      <c r="M30" s="243">
        <f>M29*Conversions!$B$4</f>
        <v>0</v>
      </c>
      <c r="N30" s="243">
        <f>N29*Conversions!$B$4</f>
        <v>0</v>
      </c>
      <c r="O30" s="2"/>
      <c r="P30" s="3"/>
      <c r="Q30" s="2"/>
    </row>
    <row r="31" spans="1:17" x14ac:dyDescent="0.25">
      <c r="A31" s="43"/>
      <c r="B31" s="19"/>
      <c r="C31" s="19"/>
      <c r="D31" s="19"/>
      <c r="E31" s="19"/>
      <c r="F31" s="19"/>
      <c r="G31" s="19"/>
      <c r="H31" s="19"/>
      <c r="I31" s="19"/>
      <c r="J31" s="19"/>
      <c r="K31" s="19"/>
      <c r="L31" s="19"/>
      <c r="M31" s="19"/>
      <c r="N31" s="19"/>
    </row>
    <row r="32" spans="1:17" ht="18.75" x14ac:dyDescent="0.3">
      <c r="A32" s="21" t="s">
        <v>93</v>
      </c>
      <c r="B32" s="19"/>
      <c r="C32" s="19"/>
      <c r="D32" s="19"/>
      <c r="E32" s="19"/>
      <c r="F32" s="19"/>
      <c r="G32" s="19"/>
      <c r="H32" s="19"/>
      <c r="I32" s="19"/>
      <c r="J32" s="19"/>
      <c r="K32" s="19"/>
      <c r="L32" s="19"/>
      <c r="M32" s="19"/>
      <c r="N32" s="19"/>
    </row>
    <row r="33" spans="1:15" x14ac:dyDescent="0.25">
      <c r="A33" s="107" t="s">
        <v>84</v>
      </c>
      <c r="B33" s="108" t="s">
        <v>63</v>
      </c>
      <c r="C33" s="108" t="s">
        <v>64</v>
      </c>
      <c r="D33" s="108" t="s">
        <v>65</v>
      </c>
      <c r="E33" s="108" t="s">
        <v>66</v>
      </c>
      <c r="F33" s="108" t="s">
        <v>67</v>
      </c>
      <c r="G33" s="108" t="s">
        <v>68</v>
      </c>
      <c r="H33" s="108" t="s">
        <v>69</v>
      </c>
      <c r="I33" s="108" t="s">
        <v>70</v>
      </c>
      <c r="J33" s="108" t="s">
        <v>71</v>
      </c>
      <c r="K33" s="108" t="s">
        <v>72</v>
      </c>
      <c r="L33" s="108" t="s">
        <v>73</v>
      </c>
      <c r="M33" s="108" t="s">
        <v>74</v>
      </c>
      <c r="N33" s="108" t="s">
        <v>77</v>
      </c>
    </row>
    <row r="34" spans="1:15" x14ac:dyDescent="0.25">
      <c r="A34" s="109" t="s">
        <v>96</v>
      </c>
      <c r="B34" s="110">
        <f>IFERROR(INDEX(Assumptions!$A$26:$B$31, MATCH('Calculation Sheet 1'!$H$3,TypeStockC,0),2),0)</f>
        <v>0</v>
      </c>
      <c r="C34" s="110">
        <f>IFERROR(INDEX(Assumptions!$A$26:$B$31, MATCH('Calculation Sheet 1'!$H$3,TypeStockC,0),2),0)</f>
        <v>0</v>
      </c>
      <c r="D34" s="110">
        <f>IFERROR(INDEX(Assumptions!$A$26:$B$31, MATCH('Calculation Sheet 1'!$H$3,TypeStockC,0),2),0)</f>
        <v>0</v>
      </c>
      <c r="E34" s="110">
        <f>IFERROR(INDEX(Assumptions!$A$26:$B$31, MATCH('Calculation Sheet 1'!$H$3,TypeStockC,0),2),0)</f>
        <v>0</v>
      </c>
      <c r="F34" s="110">
        <f>IFERROR(INDEX(Assumptions!$A$26:$B$31, MATCH('Calculation Sheet 1'!$H$3,TypeStockC,0),2),0)</f>
        <v>0</v>
      </c>
      <c r="G34" s="110">
        <f>IFERROR(INDEX(Assumptions!$A$26:$B$31, MATCH('Calculation Sheet 1'!$H$3,TypeStockC,0),2),0)</f>
        <v>0</v>
      </c>
      <c r="H34" s="110">
        <f>IFERROR(INDEX(Assumptions!$A$26:$B$31, MATCH('Calculation Sheet 1'!$H$3,TypeStockC,0),2),0)</f>
        <v>0</v>
      </c>
      <c r="I34" s="110">
        <f>IFERROR(INDEX(Assumptions!$A$26:$B$31, MATCH('Calculation Sheet 1'!$H$3,TypeStockC,0),2),0)</f>
        <v>0</v>
      </c>
      <c r="J34" s="110">
        <f>IFERROR(INDEX(Assumptions!$A$26:$B$31, MATCH('Calculation Sheet 1'!$H$3,TypeStockC,0),2),0)</f>
        <v>0</v>
      </c>
      <c r="K34" s="110">
        <f>IFERROR(INDEX(Assumptions!$A$26:$B$31, MATCH('Calculation Sheet 1'!$H$3,TypeStockC,0),2),0)</f>
        <v>0</v>
      </c>
      <c r="L34" s="110">
        <f>IFERROR(INDEX(Assumptions!$A$26:$B$31, MATCH('Calculation Sheet 1'!$H$3,TypeStockC,0),2),0)</f>
        <v>0</v>
      </c>
      <c r="M34" s="110">
        <f>IFERROR(INDEX(Assumptions!$A$26:$B$31, MATCH('Calculation Sheet 1'!$H$3,TypeStockC,0),2),0)</f>
        <v>0</v>
      </c>
      <c r="N34" s="111"/>
    </row>
    <row r="35" spans="1:15" x14ac:dyDescent="0.25">
      <c r="A35" s="112" t="s">
        <v>86</v>
      </c>
      <c r="B35" s="78">
        <f>'Entry Sheet'!B45</f>
        <v>0</v>
      </c>
      <c r="C35" s="78">
        <f>'Entry Sheet'!C45</f>
        <v>0</v>
      </c>
      <c r="D35" s="78">
        <f>'Entry Sheet'!D45</f>
        <v>0</v>
      </c>
      <c r="E35" s="78">
        <f>'Entry Sheet'!E45</f>
        <v>0</v>
      </c>
      <c r="F35" s="78">
        <f>'Entry Sheet'!F45</f>
        <v>0</v>
      </c>
      <c r="G35" s="78">
        <f>'Entry Sheet'!G45</f>
        <v>0</v>
      </c>
      <c r="H35" s="78">
        <f>'Entry Sheet'!H45</f>
        <v>0</v>
      </c>
      <c r="I35" s="78">
        <f>'Entry Sheet'!I45</f>
        <v>0</v>
      </c>
      <c r="J35" s="78">
        <f>'Entry Sheet'!J45</f>
        <v>0</v>
      </c>
      <c r="K35" s="78">
        <f>'Entry Sheet'!K45</f>
        <v>0</v>
      </c>
      <c r="L35" s="78">
        <f>'Entry Sheet'!L45</f>
        <v>0</v>
      </c>
      <c r="M35" s="78">
        <f>'Entry Sheet'!M45</f>
        <v>0</v>
      </c>
      <c r="N35" s="113">
        <f>SUM('Calculation Sheet 1'!$B35:$M35)</f>
        <v>0</v>
      </c>
    </row>
    <row r="36" spans="1:15" ht="15.75" x14ac:dyDescent="0.25">
      <c r="A36" s="114" t="s">
        <v>265</v>
      </c>
      <c r="B36" s="115">
        <f>B$34*$H$4*Days_Stockwatering2/Conversions!$B$4</f>
        <v>0</v>
      </c>
      <c r="C36" s="115">
        <f>C$34*$H$4*Days_Stockwatering2/Conversions!$B$4</f>
        <v>0</v>
      </c>
      <c r="D36" s="115">
        <f>D$34*$H$4*Days_Stockwatering2/Conversions!$B$4</f>
        <v>0</v>
      </c>
      <c r="E36" s="115">
        <f>E$34*$H$4*Days_Stockwatering2/Conversions!$B$4</f>
        <v>0</v>
      </c>
      <c r="F36" s="115">
        <f>F$34*$H$4*Days_Stockwatering2/Conversions!$B$4</f>
        <v>0</v>
      </c>
      <c r="G36" s="115">
        <f>G$34*$H$4*Days_Stockwatering2/Conversions!$B$4</f>
        <v>0</v>
      </c>
      <c r="H36" s="115">
        <f>H$34*$H$4*Days_Stockwatering2/Conversions!$B$4</f>
        <v>0</v>
      </c>
      <c r="I36" s="115">
        <f>I$34*$H$4*Days_Stockwatering2/Conversions!$B$4</f>
        <v>0</v>
      </c>
      <c r="J36" s="115">
        <f>J$34*$H$4*Days_Stockwatering2/Conversions!$B$4</f>
        <v>0</v>
      </c>
      <c r="K36" s="115">
        <f>K$34*$H$4*Days_Stockwatering2/Conversions!$B$4</f>
        <v>0</v>
      </c>
      <c r="L36" s="115">
        <f>L$34*$H$4*Days_Stockwatering2/Conversions!$B$4</f>
        <v>0</v>
      </c>
      <c r="M36" s="115">
        <f>M$34*$H$4*Days_Stockwatering2/Conversions!$B$4</f>
        <v>0</v>
      </c>
      <c r="N36" s="115">
        <f>SUM('Calculation Sheet 1'!$B36:$M36)</f>
        <v>0</v>
      </c>
    </row>
    <row r="37" spans="1:15" ht="15.75" x14ac:dyDescent="0.25">
      <c r="A37" s="114" t="s">
        <v>268</v>
      </c>
      <c r="B37" s="257">
        <f>B36*Conversions!$B$4</f>
        <v>0</v>
      </c>
      <c r="C37" s="257">
        <f>C36*Conversions!$B$4</f>
        <v>0</v>
      </c>
      <c r="D37" s="257">
        <f>D36*Conversions!$B$4</f>
        <v>0</v>
      </c>
      <c r="E37" s="257">
        <f>E36*Conversions!$B$4</f>
        <v>0</v>
      </c>
      <c r="F37" s="257">
        <f>F36*Conversions!$B$4</f>
        <v>0</v>
      </c>
      <c r="G37" s="257">
        <f>G36*Conversions!$B$4</f>
        <v>0</v>
      </c>
      <c r="H37" s="257">
        <f>H36*Conversions!$B$4</f>
        <v>0</v>
      </c>
      <c r="I37" s="257">
        <f>I36*Conversions!$B$4</f>
        <v>0</v>
      </c>
      <c r="J37" s="257">
        <f>J36*Conversions!$B$4</f>
        <v>0</v>
      </c>
      <c r="K37" s="257">
        <f>K36*Conversions!$B$4</f>
        <v>0</v>
      </c>
      <c r="L37" s="257">
        <f>L36*Conversions!$B$4</f>
        <v>0</v>
      </c>
      <c r="M37" s="257">
        <f>M36*Conversions!$B$4</f>
        <v>0</v>
      </c>
      <c r="N37" s="257">
        <f>N36*Conversions!$B$4</f>
        <v>0</v>
      </c>
      <c r="O37" s="44"/>
    </row>
    <row r="38" spans="1:15" s="47" customFormat="1" ht="15.75" x14ac:dyDescent="0.25">
      <c r="A38" s="45"/>
      <c r="B38" s="256"/>
      <c r="C38" s="256"/>
      <c r="D38" s="256"/>
      <c r="E38" s="256"/>
      <c r="F38" s="256"/>
      <c r="G38" s="256"/>
      <c r="H38" s="256"/>
      <c r="I38" s="256"/>
      <c r="J38" s="256"/>
      <c r="K38" s="256"/>
      <c r="L38" s="256"/>
      <c r="M38" s="256"/>
      <c r="N38" s="256"/>
      <c r="O38" s="46"/>
    </row>
    <row r="39" spans="1:15" ht="21" x14ac:dyDescent="0.35">
      <c r="A39" s="23" t="s">
        <v>99</v>
      </c>
      <c r="B39" s="19"/>
      <c r="C39" s="19"/>
      <c r="D39" s="19"/>
      <c r="E39" s="19"/>
      <c r="F39" s="19"/>
      <c r="G39" s="19"/>
      <c r="H39" s="19"/>
      <c r="I39" s="19"/>
      <c r="J39" s="19"/>
      <c r="K39" s="19"/>
      <c r="L39" s="19"/>
      <c r="M39" s="19"/>
      <c r="N39" s="19"/>
    </row>
    <row r="40" spans="1:15" x14ac:dyDescent="0.25">
      <c r="A40" s="116" t="s">
        <v>84</v>
      </c>
      <c r="B40" s="117" t="s">
        <v>63</v>
      </c>
      <c r="C40" s="117" t="s">
        <v>64</v>
      </c>
      <c r="D40" s="117" t="s">
        <v>65</v>
      </c>
      <c r="E40" s="117" t="s">
        <v>66</v>
      </c>
      <c r="F40" s="117" t="s">
        <v>67</v>
      </c>
      <c r="G40" s="117" t="s">
        <v>68</v>
      </c>
      <c r="H40" s="117" t="s">
        <v>69</v>
      </c>
      <c r="I40" s="117" t="s">
        <v>70</v>
      </c>
      <c r="J40" s="117" t="s">
        <v>71</v>
      </c>
      <c r="K40" s="117" t="s">
        <v>72</v>
      </c>
      <c r="L40" s="117" t="s">
        <v>73</v>
      </c>
      <c r="M40" s="117" t="s">
        <v>74</v>
      </c>
      <c r="N40" s="118" t="s">
        <v>77</v>
      </c>
    </row>
    <row r="41" spans="1:15" x14ac:dyDescent="0.25">
      <c r="A41" s="119" t="s">
        <v>100</v>
      </c>
      <c r="B41" s="302">
        <f>SUMIFS(B$12:B$37, $A$12:$A$37,"*Total*",$A$12:$A$37, "*AF*")</f>
        <v>0</v>
      </c>
      <c r="C41" s="302">
        <f t="shared" ref="C41:M41" si="4">SUMIFS(C$12:C$37, $A$12:$A$37,"*Total*",$A$12:$A$37, "*AF*")</f>
        <v>0</v>
      </c>
      <c r="D41" s="302">
        <f t="shared" si="4"/>
        <v>0</v>
      </c>
      <c r="E41" s="302">
        <f t="shared" si="4"/>
        <v>0</v>
      </c>
      <c r="F41" s="302">
        <f t="shared" si="4"/>
        <v>0</v>
      </c>
      <c r="G41" s="302">
        <f t="shared" si="4"/>
        <v>0</v>
      </c>
      <c r="H41" s="302">
        <f t="shared" si="4"/>
        <v>0</v>
      </c>
      <c r="I41" s="302">
        <f t="shared" si="4"/>
        <v>0</v>
      </c>
      <c r="J41" s="302">
        <f t="shared" si="4"/>
        <v>0</v>
      </c>
      <c r="K41" s="302">
        <f t="shared" si="4"/>
        <v>0</v>
      </c>
      <c r="L41" s="302">
        <f t="shared" si="4"/>
        <v>0</v>
      </c>
      <c r="M41" s="302">
        <f t="shared" si="4"/>
        <v>0</v>
      </c>
      <c r="N41" s="303">
        <f>SUM('Calculation Sheet 1'!$B41:$M41)</f>
        <v>0</v>
      </c>
    </row>
    <row r="42" spans="1:15" ht="15.75" thickBot="1" x14ac:dyDescent="0.3">
      <c r="A42" s="120" t="s">
        <v>101</v>
      </c>
      <c r="B42" s="258">
        <f>B41*Conversions!$B$4</f>
        <v>0</v>
      </c>
      <c r="C42" s="258">
        <f>C41*Conversions!$B$4</f>
        <v>0</v>
      </c>
      <c r="D42" s="258">
        <f>D41*Conversions!$B$4</f>
        <v>0</v>
      </c>
      <c r="E42" s="258">
        <f>E41*Conversions!$B$4</f>
        <v>0</v>
      </c>
      <c r="F42" s="258">
        <f>F41*Conversions!$B$4</f>
        <v>0</v>
      </c>
      <c r="G42" s="258">
        <f>G41*Conversions!$B$4</f>
        <v>0</v>
      </c>
      <c r="H42" s="258">
        <f>H41*Conversions!$B$4</f>
        <v>0</v>
      </c>
      <c r="I42" s="258">
        <f>I41*Conversions!$B$4</f>
        <v>0</v>
      </c>
      <c r="J42" s="258">
        <f>J41*Conversions!$B$4</f>
        <v>0</v>
      </c>
      <c r="K42" s="258">
        <f>K41*Conversions!$B$4</f>
        <v>0</v>
      </c>
      <c r="L42" s="258">
        <f>L41*Conversions!$B$4</f>
        <v>0</v>
      </c>
      <c r="M42" s="258">
        <f>M41*Conversions!$B$4</f>
        <v>0</v>
      </c>
      <c r="N42" s="259">
        <f>N41*Conversions!$B$4</f>
        <v>0</v>
      </c>
    </row>
    <row r="43" spans="1:15" x14ac:dyDescent="0.25">
      <c r="A43" s="18"/>
      <c r="B43" s="18"/>
      <c r="C43" s="18"/>
      <c r="D43" s="18"/>
      <c r="E43" s="18"/>
      <c r="F43" s="18"/>
      <c r="G43" s="18"/>
      <c r="H43" s="18"/>
      <c r="I43" s="18"/>
      <c r="J43" s="19"/>
      <c r="K43" s="18"/>
      <c r="L43" s="18"/>
      <c r="M43" s="18"/>
      <c r="N43" s="18"/>
    </row>
    <row r="44" spans="1:15" x14ac:dyDescent="0.25">
      <c r="E44"/>
    </row>
    <row r="45" spans="1:15" x14ac:dyDescent="0.25">
      <c r="E45"/>
    </row>
    <row r="46" spans="1:15" x14ac:dyDescent="0.25">
      <c r="E46"/>
    </row>
    <row r="47" spans="1:15" x14ac:dyDescent="0.25">
      <c r="E47"/>
    </row>
    <row r="48" spans="1:1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sheetData>
  <sheetProtection formatColumns="0" formatRows="0" insertColumns="0" insertRows="0" insertHyperlinks="0" deleteColumns="0" deleteRows="0" sort="0" autoFilter="0" pivotTables="0"/>
  <customSheetViews>
    <customSheetView guid="{A3E8C8DD-8C60-4C83-AE95-312CF58B6ABA}" topLeftCell="A4">
      <selection activeCell="B27" sqref="B27"/>
      <pageMargins left="0.7" right="0.7" top="0.75" bottom="0.75" header="0.3" footer="0.3"/>
      <pageSetup orientation="portrait" r:id="rId1"/>
    </customSheetView>
  </customSheetViews>
  <mergeCells count="1">
    <mergeCell ref="D2:E2"/>
  </mergeCells>
  <pageMargins left="0.7" right="0.7" top="0.75" bottom="0.75" header="0.3" footer="0.3"/>
  <pageSetup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tint="4.9989318521683403E-2"/>
  </sheetPr>
  <dimension ref="A1:Q64"/>
  <sheetViews>
    <sheetView topLeftCell="A10" workbookViewId="0">
      <selection activeCell="B41" sqref="B41:N42"/>
    </sheetView>
  </sheetViews>
  <sheetFormatPr defaultRowHeight="15" x14ac:dyDescent="0.25"/>
  <cols>
    <col min="1" max="1" width="30.85546875" customWidth="1"/>
    <col min="2" max="3" width="22.5703125" customWidth="1"/>
    <col min="4" max="4" width="19.28515625" customWidth="1"/>
    <col min="5" max="5" width="19.7109375" style="2" customWidth="1"/>
    <col min="6" max="6" width="12.7109375" bestFit="1" customWidth="1"/>
    <col min="7" max="7" width="14.42578125" customWidth="1"/>
    <col min="8" max="8" width="20" bestFit="1" customWidth="1"/>
    <col min="9" max="9" width="12.7109375" bestFit="1" customWidth="1"/>
    <col min="10" max="10" width="12.7109375" style="2" bestFit="1" customWidth="1"/>
    <col min="11" max="11" width="12.7109375" bestFit="1" customWidth="1"/>
    <col min="12" max="13" width="12" customWidth="1"/>
    <col min="14" max="14" width="16.5703125" customWidth="1"/>
    <col min="15" max="15" width="11.5703125" bestFit="1" customWidth="1"/>
    <col min="16" max="16" width="9.5703125" customWidth="1"/>
  </cols>
  <sheetData>
    <row r="1" spans="1:17" ht="15.75" x14ac:dyDescent="0.25">
      <c r="A1" s="4" t="s">
        <v>49</v>
      </c>
    </row>
    <row r="2" spans="1:17" ht="15.75" x14ac:dyDescent="0.25">
      <c r="A2" s="326" t="s">
        <v>50</v>
      </c>
      <c r="B2" s="327"/>
      <c r="D2" s="328" t="s">
        <v>76</v>
      </c>
      <c r="E2" s="328"/>
      <c r="G2" s="329" t="s">
        <v>87</v>
      </c>
      <c r="H2" s="330"/>
    </row>
    <row r="3" spans="1:17" x14ac:dyDescent="0.25">
      <c r="A3" s="26" t="s">
        <v>78</v>
      </c>
      <c r="B3" s="48">
        <f>'Entry Sheet'!B3</f>
        <v>0</v>
      </c>
      <c r="D3" s="61" t="s">
        <v>262</v>
      </c>
      <c r="E3" s="241">
        <f>'Entry Sheet'!E3</f>
        <v>0</v>
      </c>
      <c r="G3" s="24" t="s">
        <v>83</v>
      </c>
      <c r="H3" s="242">
        <f>TypeComStock2</f>
        <v>0</v>
      </c>
    </row>
    <row r="4" spans="1:17" ht="18.75" customHeight="1" x14ac:dyDescent="0.25">
      <c r="A4" s="25" t="s">
        <v>52</v>
      </c>
      <c r="B4" s="48">
        <f>'Entry Sheet'!B4</f>
        <v>0</v>
      </c>
      <c r="C4" s="2"/>
      <c r="D4" s="39" t="s">
        <v>90</v>
      </c>
      <c r="E4" s="242">
        <f>TypeCrop2</f>
        <v>0</v>
      </c>
      <c r="G4" s="24" t="s">
        <v>82</v>
      </c>
      <c r="H4" s="242">
        <f>NumComStock2</f>
        <v>0</v>
      </c>
      <c r="I4" s="2"/>
      <c r="J4"/>
    </row>
    <row r="5" spans="1:17" x14ac:dyDescent="0.25">
      <c r="A5" s="27" t="s">
        <v>80</v>
      </c>
      <c r="B5" s="48">
        <f>TypeStock2</f>
        <v>0</v>
      </c>
      <c r="C5" s="2"/>
      <c r="D5" s="39" t="s">
        <v>79</v>
      </c>
      <c r="E5" s="242">
        <f>NumCrop2</f>
        <v>0</v>
      </c>
      <c r="I5" s="2"/>
      <c r="J5"/>
    </row>
    <row r="6" spans="1:17" x14ac:dyDescent="0.25">
      <c r="A6" s="27" t="s">
        <v>81</v>
      </c>
      <c r="B6" s="48">
        <f>NumStock2</f>
        <v>0</v>
      </c>
      <c r="C6" s="19"/>
      <c r="E6"/>
      <c r="F6" s="18"/>
      <c r="G6" s="18"/>
      <c r="H6" s="18"/>
      <c r="I6" s="19"/>
      <c r="J6" s="18"/>
      <c r="K6" s="18"/>
      <c r="L6" s="18"/>
      <c r="M6" s="18"/>
      <c r="N6" s="18"/>
    </row>
    <row r="7" spans="1:17" x14ac:dyDescent="0.25">
      <c r="C7" s="19"/>
      <c r="D7" s="19"/>
      <c r="E7" s="18"/>
      <c r="F7" s="18"/>
      <c r="G7" s="18"/>
      <c r="H7" s="18"/>
      <c r="I7" s="19"/>
      <c r="J7" s="18"/>
      <c r="K7" s="18"/>
      <c r="L7" s="18"/>
      <c r="M7" s="18"/>
      <c r="N7" s="18"/>
    </row>
    <row r="8" spans="1:17" x14ac:dyDescent="0.25">
      <c r="C8" s="19"/>
      <c r="D8" s="19"/>
      <c r="E8" s="18"/>
      <c r="F8" s="18"/>
      <c r="G8" s="18"/>
      <c r="H8" s="18"/>
      <c r="I8" s="19"/>
      <c r="J8" s="18"/>
      <c r="K8" s="18"/>
      <c r="L8" s="18"/>
      <c r="M8" s="18"/>
      <c r="N8" s="18"/>
    </row>
    <row r="9" spans="1:17" x14ac:dyDescent="0.25">
      <c r="A9" s="18"/>
      <c r="B9" s="17"/>
      <c r="C9" s="19"/>
      <c r="D9" s="19"/>
      <c r="E9" s="18"/>
      <c r="F9" s="18"/>
      <c r="G9" s="18"/>
      <c r="H9" s="18"/>
      <c r="I9" s="19"/>
      <c r="J9" s="18"/>
      <c r="K9" s="18"/>
      <c r="L9" s="18"/>
      <c r="M9" s="18"/>
      <c r="N9" s="18"/>
    </row>
    <row r="10" spans="1:17" x14ac:dyDescent="0.25">
      <c r="A10" s="37" t="s">
        <v>111</v>
      </c>
      <c r="B10" s="35"/>
      <c r="C10" s="36"/>
      <c r="D10" s="36"/>
      <c r="E10" s="37"/>
      <c r="F10" s="18"/>
      <c r="G10" s="18"/>
      <c r="H10" s="18"/>
      <c r="I10" s="19"/>
      <c r="J10" s="18"/>
      <c r="K10" s="18"/>
      <c r="L10" s="18"/>
      <c r="M10" s="18"/>
      <c r="N10" s="18"/>
    </row>
    <row r="11" spans="1:17" ht="18.75" x14ac:dyDescent="0.25">
      <c r="A11" s="38" t="s">
        <v>91</v>
      </c>
      <c r="B11" s="17"/>
      <c r="C11" s="19"/>
      <c r="D11" s="19"/>
      <c r="E11" s="18"/>
      <c r="F11" s="18"/>
      <c r="G11" s="18"/>
      <c r="H11" s="18"/>
      <c r="I11" s="19"/>
      <c r="J11" s="18"/>
      <c r="K11" s="18"/>
      <c r="L11" s="18"/>
      <c r="M11" s="18"/>
      <c r="N11" s="18"/>
    </row>
    <row r="12" spans="1:17" x14ac:dyDescent="0.25">
      <c r="A12" s="72" t="s">
        <v>84</v>
      </c>
      <c r="B12" s="73" t="s">
        <v>63</v>
      </c>
      <c r="C12" s="73" t="s">
        <v>64</v>
      </c>
      <c r="D12" s="73" t="s">
        <v>65</v>
      </c>
      <c r="E12" s="73" t="s">
        <v>66</v>
      </c>
      <c r="F12" s="73" t="s">
        <v>67</v>
      </c>
      <c r="G12" s="73" t="s">
        <v>68</v>
      </c>
      <c r="H12" s="73" t="s">
        <v>69</v>
      </c>
      <c r="I12" s="73" t="s">
        <v>70</v>
      </c>
      <c r="J12" s="73" t="s">
        <v>71</v>
      </c>
      <c r="K12" s="73" t="s">
        <v>72</v>
      </c>
      <c r="L12" s="73" t="s">
        <v>73</v>
      </c>
      <c r="M12" s="73" t="s">
        <v>74</v>
      </c>
      <c r="N12" s="74" t="s">
        <v>77</v>
      </c>
      <c r="O12" s="2"/>
      <c r="P12" s="3"/>
      <c r="Q12" s="2"/>
    </row>
    <row r="13" spans="1:17" x14ac:dyDescent="0.25">
      <c r="A13" s="84" t="s">
        <v>98</v>
      </c>
      <c r="B13" s="85">
        <f>IFERROR(INDEX(Assumptions!$A$14:$B$17,MATCH(EntryStock,TypeStockD,0),2),0)</f>
        <v>0</v>
      </c>
      <c r="C13" s="85">
        <f>IFERROR(INDEX(Assumptions!$A$14:$B$17,MATCH(EntryStock,TypeStockD,0),2),0)</f>
        <v>0</v>
      </c>
      <c r="D13" s="85">
        <f>IFERROR(INDEX(Assumptions!$A$14:$B$17,MATCH(EntryStock,TypeStockD,0),2),0)</f>
        <v>0</v>
      </c>
      <c r="E13" s="85">
        <f>IFERROR(INDEX(Assumptions!$A$14:$B$17,MATCH(EntryStock,TypeStockD,0),2),0)</f>
        <v>0</v>
      </c>
      <c r="F13" s="85">
        <f>IFERROR(INDEX(Assumptions!$A$14:$B$17,MATCH(EntryStock,TypeStockD,0),2),0)</f>
        <v>0</v>
      </c>
      <c r="G13" s="85">
        <f>IFERROR(INDEX(Assumptions!$A$14:$B$17,MATCH(EntryStock,TypeStockD,0),2),0)</f>
        <v>0</v>
      </c>
      <c r="H13" s="85">
        <f>IFERROR(INDEX(Assumptions!$A$14:$B$17,MATCH(EntryStock,TypeStockD,0),2),0)</f>
        <v>0</v>
      </c>
      <c r="I13" s="85">
        <f>IFERROR(INDEX(Assumptions!$A$14:$B$17,MATCH(EntryStock,TypeStockD,0),2),0)</f>
        <v>0</v>
      </c>
      <c r="J13" s="85">
        <f>IFERROR(INDEX(Assumptions!$A$14:$B$17,MATCH(EntryStock,TypeStockD,0),2),0)</f>
        <v>0</v>
      </c>
      <c r="K13" s="85">
        <f>IFERROR(INDEX(Assumptions!$A$14:$B$17,MATCH(EntryStock,TypeStockD,0),2),0)</f>
        <v>0</v>
      </c>
      <c r="L13" s="85">
        <f>IFERROR(INDEX(Assumptions!$A$14:$B$17,MATCH(EntryStock,TypeStockD,0),2),0)</f>
        <v>0</v>
      </c>
      <c r="M13" s="85">
        <f>IFERROR(INDEX(Assumptions!$A$14:$B$17,MATCH(EntryStock,TypeStockD,0),2),0)</f>
        <v>0</v>
      </c>
      <c r="N13" s="86">
        <f>SUM('Calculation Sheet 2'!$B13:$M13)</f>
        <v>0</v>
      </c>
      <c r="O13" s="2"/>
      <c r="P13" s="3"/>
      <c r="Q13" s="2"/>
    </row>
    <row r="14" spans="1:17" x14ac:dyDescent="0.25">
      <c r="A14" s="80" t="s">
        <v>89</v>
      </c>
      <c r="B14" s="78">
        <f>'Entry Sheet'!B29</f>
        <v>0</v>
      </c>
      <c r="C14" s="78">
        <f>'Entry Sheet'!C29</f>
        <v>0</v>
      </c>
      <c r="D14" s="78">
        <f>'Entry Sheet'!D29</f>
        <v>0</v>
      </c>
      <c r="E14" s="78">
        <f>'Entry Sheet'!E29</f>
        <v>0</v>
      </c>
      <c r="F14" s="78">
        <f>'Entry Sheet'!F29</f>
        <v>0</v>
      </c>
      <c r="G14" s="78">
        <f>'Entry Sheet'!G29</f>
        <v>0</v>
      </c>
      <c r="H14" s="78">
        <f>'Entry Sheet'!H29</f>
        <v>0</v>
      </c>
      <c r="I14" s="78">
        <f>'Entry Sheet'!I29</f>
        <v>0</v>
      </c>
      <c r="J14" s="78">
        <f>'Entry Sheet'!J29</f>
        <v>0</v>
      </c>
      <c r="K14" s="78">
        <f>'Entry Sheet'!K29</f>
        <v>0</v>
      </c>
      <c r="L14" s="78">
        <f>'Entry Sheet'!L29</f>
        <v>0</v>
      </c>
      <c r="M14" s="78">
        <f>'Entry Sheet'!M29</f>
        <v>0</v>
      </c>
      <c r="N14" s="87">
        <f>SUM('Calculation Sheet 2'!$B14:$M14)</f>
        <v>0</v>
      </c>
      <c r="O14" s="2"/>
      <c r="P14" s="3"/>
      <c r="Q14" s="2"/>
    </row>
    <row r="15" spans="1:17" x14ac:dyDescent="0.25">
      <c r="A15" s="77" t="s">
        <v>110</v>
      </c>
      <c r="B15" s="88">
        <f>Stock*B$13*DaysStockwatering1/Conversions!$B$4</f>
        <v>0</v>
      </c>
      <c r="C15" s="88">
        <f>Stock*C$13*DaysStockwatering1/Conversions!$B$4</f>
        <v>0</v>
      </c>
      <c r="D15" s="88">
        <f>Stock*D$13*DaysStockwatering1/Conversions!$B$4</f>
        <v>0</v>
      </c>
      <c r="E15" s="88">
        <f>Stock*E$13*DaysStockwatering1/Conversions!$B$4</f>
        <v>0</v>
      </c>
      <c r="F15" s="88">
        <f>Stock*F$13*DaysStockwatering1/Conversions!$B$4</f>
        <v>0</v>
      </c>
      <c r="G15" s="88">
        <f>Stock*G$13*DaysStockwatering1/Conversions!$B$4</f>
        <v>0</v>
      </c>
      <c r="H15" s="88">
        <f>Stock*H$13*DaysStockwatering1/Conversions!$B$4</f>
        <v>0</v>
      </c>
      <c r="I15" s="88">
        <f>Stock*I$13*DaysStockwatering1/Conversions!$B$4</f>
        <v>0</v>
      </c>
      <c r="J15" s="88">
        <f>Stock*J$13*DaysStockwatering1/Conversions!$B$4</f>
        <v>0</v>
      </c>
      <c r="K15" s="88">
        <f>Stock*K$13*DaysStockwatering1/Conversions!$B$4</f>
        <v>0</v>
      </c>
      <c r="L15" s="88">
        <f>Stock*L$13*DaysStockwatering1/Conversions!$B$4</f>
        <v>0</v>
      </c>
      <c r="M15" s="88">
        <f>Stock*M$13*DaysStockwatering1/Conversions!$B$4</f>
        <v>0</v>
      </c>
      <c r="N15" s="86">
        <f>SUM('Calculation Sheet 2'!$B15:$M15)</f>
        <v>0</v>
      </c>
      <c r="O15" s="2"/>
      <c r="P15" s="3"/>
      <c r="Q15" s="2"/>
    </row>
    <row r="16" spans="1:17" ht="15.75" x14ac:dyDescent="0.25">
      <c r="A16" s="92" t="s">
        <v>107</v>
      </c>
      <c r="B16" s="93">
        <f>SUMIF($A$13:$A$15, "*AF*",B$13:$B$15)</f>
        <v>0</v>
      </c>
      <c r="C16" s="93">
        <f>SUMIF($A$13:$A$15, "*AF*",$B$13:C$15)</f>
        <v>0</v>
      </c>
      <c r="D16" s="93">
        <f>SUMIF($A$13:$A$15, "*AF*",$B$13:D$15)</f>
        <v>0</v>
      </c>
      <c r="E16" s="93">
        <f>SUMIF($A$13:$A$15, "*AF*",$B$13:E$15)</f>
        <v>0</v>
      </c>
      <c r="F16" s="93">
        <f>SUMIF($A$13:$A$15, "*AF*",$B$13:F$15)</f>
        <v>0</v>
      </c>
      <c r="G16" s="93">
        <f>SUMIF($A$13:$A$15, "*AF*",$B$13:G$15)</f>
        <v>0</v>
      </c>
      <c r="H16" s="93">
        <f>SUMIF($A$13:$A$15, "*AF*",$B$13:H$15)</f>
        <v>0</v>
      </c>
      <c r="I16" s="93">
        <f>SUMIF($A$13:$A$15, "*AF*",$B$13:I$15)</f>
        <v>0</v>
      </c>
      <c r="J16" s="93">
        <f>SUMIF($A$13:$A$15, "*AF*",$B$13:J$15)</f>
        <v>0</v>
      </c>
      <c r="K16" s="93">
        <f>SUMIF($A$13:$A$15, "*AF*",$B$13:K$15)</f>
        <v>0</v>
      </c>
      <c r="L16" s="93">
        <f>SUMIF($A$13:$A$15, "*AF*",$B$13:L$15)</f>
        <v>0</v>
      </c>
      <c r="M16" s="93">
        <f>SUMIF($A$13:$A$15, "*AF*",$B$13:M$15)</f>
        <v>0</v>
      </c>
      <c r="N16" s="62">
        <f>SUM('Calculation Sheet 2'!$B16:$M16)</f>
        <v>0</v>
      </c>
      <c r="O16" s="2"/>
      <c r="P16" s="3"/>
      <c r="Q16" s="2"/>
    </row>
    <row r="17" spans="1:17" s="14" customFormat="1" ht="15.75" x14ac:dyDescent="0.25">
      <c r="A17" s="122" t="s">
        <v>108</v>
      </c>
      <c r="B17" s="254">
        <f>B16*Conversions!$B$4</f>
        <v>0</v>
      </c>
      <c r="C17" s="254">
        <f>C16*Conversions!$B$4</f>
        <v>0</v>
      </c>
      <c r="D17" s="254">
        <f>D16*Conversions!$B$4</f>
        <v>0</v>
      </c>
      <c r="E17" s="254">
        <f>E16*Conversions!$B$4</f>
        <v>0</v>
      </c>
      <c r="F17" s="254">
        <f>F16*Conversions!$B$4</f>
        <v>0</v>
      </c>
      <c r="G17" s="254">
        <f>G16*Conversions!$B$4</f>
        <v>0</v>
      </c>
      <c r="H17" s="254">
        <f>H16*Conversions!$B$4</f>
        <v>0</v>
      </c>
      <c r="I17" s="254">
        <f>I16*Conversions!$B$4</f>
        <v>0</v>
      </c>
      <c r="J17" s="254">
        <f>J16*Conversions!$B$4</f>
        <v>0</v>
      </c>
      <c r="K17" s="254">
        <f>K16*Conversions!$B$4</f>
        <v>0</v>
      </c>
      <c r="L17" s="254">
        <f>L16*Conversions!$B$4</f>
        <v>0</v>
      </c>
      <c r="M17" s="254">
        <f>M16*Conversions!$B$4</f>
        <v>0</v>
      </c>
      <c r="N17" s="255">
        <f>SUM('Calculation Sheet 2'!$B17:$M17)</f>
        <v>0</v>
      </c>
      <c r="O17" s="16"/>
      <c r="P17" s="20"/>
      <c r="Q17" s="16"/>
    </row>
    <row r="18" spans="1:17" s="14" customFormat="1" x14ac:dyDescent="0.25">
      <c r="O18" s="16"/>
      <c r="P18" s="20"/>
      <c r="Q18" s="16"/>
    </row>
    <row r="21" spans="1:17" x14ac:dyDescent="0.25">
      <c r="E21"/>
      <c r="J21"/>
    </row>
    <row r="22" spans="1:17" x14ac:dyDescent="0.25">
      <c r="E22"/>
      <c r="J22"/>
    </row>
    <row r="23" spans="1:17" x14ac:dyDescent="0.25">
      <c r="E23"/>
      <c r="J23"/>
    </row>
    <row r="24" spans="1:17" x14ac:dyDescent="0.25">
      <c r="E24"/>
      <c r="J24"/>
    </row>
    <row r="25" spans="1:17" ht="18.75" x14ac:dyDescent="0.3">
      <c r="A25" s="22" t="s">
        <v>92</v>
      </c>
      <c r="B25" s="18"/>
      <c r="C25" s="18"/>
      <c r="D25" s="18"/>
      <c r="E25" s="18"/>
      <c r="F25" s="18"/>
      <c r="G25" s="18"/>
      <c r="H25" s="18"/>
      <c r="I25" s="18"/>
      <c r="J25" s="19"/>
      <c r="K25" s="19"/>
      <c r="L25" s="19"/>
      <c r="M25" s="19"/>
      <c r="N25" s="19"/>
    </row>
    <row r="26" spans="1:17" ht="15.75" thickBot="1" x14ac:dyDescent="0.3">
      <c r="A26" s="96" t="s">
        <v>84</v>
      </c>
      <c r="B26" s="97" t="s">
        <v>63</v>
      </c>
      <c r="C26" s="97" t="s">
        <v>64</v>
      </c>
      <c r="D26" s="97" t="s">
        <v>65</v>
      </c>
      <c r="E26" s="97" t="s">
        <v>66</v>
      </c>
      <c r="F26" s="97" t="s">
        <v>67</v>
      </c>
      <c r="G26" s="97" t="s">
        <v>68</v>
      </c>
      <c r="H26" s="97" t="s">
        <v>69</v>
      </c>
      <c r="I26" s="97" t="s">
        <v>70</v>
      </c>
      <c r="J26" s="97" t="s">
        <v>71</v>
      </c>
      <c r="K26" s="97" t="s">
        <v>72</v>
      </c>
      <c r="L26" s="97" t="s">
        <v>73</v>
      </c>
      <c r="M26" s="97" t="s">
        <v>74</v>
      </c>
      <c r="N26" s="98" t="s">
        <v>77</v>
      </c>
      <c r="O26" s="2"/>
      <c r="P26" s="3"/>
      <c r="Q26" s="2"/>
    </row>
    <row r="27" spans="1:17" ht="15.75" thickTop="1" x14ac:dyDescent="0.25">
      <c r="A27" s="99" t="s">
        <v>263</v>
      </c>
      <c r="B27" s="100">
        <f>IFERROR(IF(INDEX(Assumptions!$A$35:$BG$55,MATCH($E$4,Irrigation_Crop,0),MATCH($E$3,IrrigationCounty,0))=0,INDEX(Assumptions!$A$35:$BG$55,MATCH($E$4,Irrigation_Crop,0),COLUMN(Assumptions!$BG$34)),INDEX(Assumptions!$A$35:$BG$55,MATCH($E$4,Irrigation_Crop,0),MATCH($E$3,IrrigationCounty,0))),0)</f>
        <v>0</v>
      </c>
      <c r="C27" s="100">
        <f>IFERROR(IF(INDEX(Assumptions!$A$35:$BG$55,MATCH($E$4,Irrigation_Crop,0),MATCH($E$3,IrrigationCounty,0))=0,INDEX(Assumptions!$A$35:$BG$55,MATCH($E$4,Irrigation_Crop,0),COLUMN(Assumptions!$BG$34)),INDEX(Assumptions!$A$35:$BG$55,MATCH($E$4,Irrigation_Crop,0),MATCH($E$3,IrrigationCounty,0))),0)</f>
        <v>0</v>
      </c>
      <c r="D27" s="100">
        <f>IFERROR(IF(INDEX(Assumptions!$A$35:$BG$55,MATCH($E$4,Irrigation_Crop,0),MATCH($E$3,IrrigationCounty,0))=0,INDEX(Assumptions!$A$35:$BG$55,MATCH($E$4,Irrigation_Crop,0),COLUMN(Assumptions!$BG$34)),INDEX(Assumptions!$A$35:$BG$55,MATCH($E$4,Irrigation_Crop,0),MATCH($E$3,IrrigationCounty,0))),0)</f>
        <v>0</v>
      </c>
      <c r="E27" s="100">
        <f>IFERROR(IF(INDEX(Assumptions!$A$35:$BG$55,MATCH($E$4,Irrigation_Crop,0),MATCH($E$3,IrrigationCounty,0))=0,INDEX(Assumptions!$A$35:$BG$55,MATCH($E$4,Irrigation_Crop,0),COLUMN(Assumptions!$BG$34)),INDEX(Assumptions!$A$35:$BG$55,MATCH($E$4,Irrigation_Crop,0),MATCH($E$3,IrrigationCounty,0))),0)</f>
        <v>0</v>
      </c>
      <c r="F27" s="100">
        <f>IFERROR(IF(INDEX(Assumptions!$A$35:$BG$55,MATCH($E$4,Irrigation_Crop,0),MATCH($E$3,IrrigationCounty,0))=0,INDEX(Assumptions!$A$35:$BG$55,MATCH($E$4,Irrigation_Crop,0),COLUMN(Assumptions!$BG$34)),INDEX(Assumptions!$A$35:$BG$55,MATCH($E$4,Irrigation_Crop,0),MATCH($E$3,IrrigationCounty,0))),0)</f>
        <v>0</v>
      </c>
      <c r="G27" s="100">
        <f>IFERROR(IF(INDEX(Assumptions!$A$35:$BG$55,MATCH($E$4,Irrigation_Crop,0),MATCH($E$3,IrrigationCounty,0))=0,INDEX(Assumptions!$A$35:$BG$55,MATCH($E$4,Irrigation_Crop,0),COLUMN(Assumptions!$BG$34)),INDEX(Assumptions!$A$35:$BG$55,MATCH($E$4,Irrigation_Crop,0),MATCH($E$3,IrrigationCounty,0))),0)</f>
        <v>0</v>
      </c>
      <c r="H27" s="100">
        <f>IFERROR(IF(INDEX(Assumptions!$A$35:$BG$55,MATCH($E$4,Irrigation_Crop,0),MATCH($E$3,IrrigationCounty,0))=0,INDEX(Assumptions!$A$35:$BG$55,MATCH($E$4,Irrigation_Crop,0),COLUMN(Assumptions!$BG$34)),INDEX(Assumptions!$A$35:$BG$55,MATCH($E$4,Irrigation_Crop,0),MATCH($E$3,IrrigationCounty,0))),0)</f>
        <v>0</v>
      </c>
      <c r="I27" s="100">
        <f>IFERROR(IF(INDEX(Assumptions!$A$35:$BG$55,MATCH($E$4,Irrigation_Crop,0),MATCH($E$3,IrrigationCounty,0))=0,INDEX(Assumptions!$A$35:$BG$55,MATCH($E$4,Irrigation_Crop,0),COLUMN(Assumptions!$BG$34)),INDEX(Assumptions!$A$35:$BG$55,MATCH($E$4,Irrigation_Crop,0),MATCH($E$3,IrrigationCounty,0))),0)</f>
        <v>0</v>
      </c>
      <c r="J27" s="100">
        <f>IFERROR(IF(INDEX(Assumptions!$A$35:$BG$55,MATCH($E$4,Irrigation_Crop,0),MATCH($E$3,IrrigationCounty,0))=0,INDEX(Assumptions!$A$35:$BG$55,MATCH($E$4,Irrigation_Crop,0),COLUMN(Assumptions!$BG$34)),INDEX(Assumptions!$A$35:$BG$55,MATCH($E$4,Irrigation_Crop,0),MATCH($E$3,IrrigationCounty,0))),0)</f>
        <v>0</v>
      </c>
      <c r="K27" s="100">
        <f>IFERROR(IF(INDEX(Assumptions!$A$35:$BG$55,MATCH($E$4,Irrigation_Crop,0),MATCH($E$3,IrrigationCounty,0))=0,INDEX(Assumptions!$A$35:$BG$55,MATCH($E$4,Irrigation_Crop,0),COLUMN(Assumptions!$BG$34)),INDEX(Assumptions!$A$35:$BG$55,MATCH($E$4,Irrigation_Crop,0),MATCH($E$3,IrrigationCounty,0))),0)</f>
        <v>0</v>
      </c>
      <c r="L27" s="100">
        <f>IFERROR(IF(INDEX(Assumptions!$A$35:$BG$55,MATCH($E$4,Irrigation_Crop,0),MATCH($E$3,IrrigationCounty,0))=0,INDEX(Assumptions!$A$35:$BG$55,MATCH($E$4,Irrigation_Crop,0),COLUMN(Assumptions!$BG$34)),INDEX(Assumptions!$A$35:$BG$55,MATCH($E$4,Irrigation_Crop,0),MATCH($E$3,IrrigationCounty,0))),0)</f>
        <v>0</v>
      </c>
      <c r="M27" s="100">
        <f>IFERROR(IF(INDEX(Assumptions!$A$35:$BG$55,MATCH($E$4,Irrigation_Crop,0),MATCH($E$3,IrrigationCounty,0))=0,INDEX(Assumptions!$A$35:$BG$55,MATCH($E$4,Irrigation_Crop,0),COLUMN(Assumptions!$BG$34)),INDEX(Assumptions!$A$35:$BG$55,MATCH($E$4,Irrigation_Crop,0),MATCH($E$3,IrrigationCounty,0))),0)</f>
        <v>0</v>
      </c>
      <c r="N27" s="249"/>
      <c r="O27" s="2"/>
      <c r="P27" s="3"/>
      <c r="Q27" s="2"/>
    </row>
    <row r="28" spans="1:17" x14ac:dyDescent="0.25">
      <c r="A28" s="102" t="s">
        <v>85</v>
      </c>
      <c r="B28" s="190">
        <f>'Entry Sheet'!B38</f>
        <v>0</v>
      </c>
      <c r="C28" s="190">
        <f>'Entry Sheet'!C38</f>
        <v>0</v>
      </c>
      <c r="D28" s="190">
        <f>'Entry Sheet'!D38</f>
        <v>0</v>
      </c>
      <c r="E28" s="190">
        <f>'Entry Sheet'!E38</f>
        <v>0</v>
      </c>
      <c r="F28" s="190">
        <f>'Entry Sheet'!F38</f>
        <v>0</v>
      </c>
      <c r="G28" s="190">
        <f>'Entry Sheet'!G38</f>
        <v>0</v>
      </c>
      <c r="H28" s="190">
        <f>'Entry Sheet'!H38</f>
        <v>0</v>
      </c>
      <c r="I28" s="190">
        <f>'Entry Sheet'!I38</f>
        <v>0</v>
      </c>
      <c r="J28" s="190">
        <f>'Entry Sheet'!J38</f>
        <v>0</v>
      </c>
      <c r="K28" s="190">
        <f>'Entry Sheet'!K38</f>
        <v>0</v>
      </c>
      <c r="L28" s="190">
        <f>'Entry Sheet'!L38</f>
        <v>0</v>
      </c>
      <c r="M28" s="190">
        <f>'Entry Sheet'!M38</f>
        <v>0</v>
      </c>
      <c r="N28" s="247">
        <f>SUM('Calculation Sheet 2'!$B28:$M28)</f>
        <v>0</v>
      </c>
      <c r="O28" s="2"/>
      <c r="P28" s="3"/>
      <c r="Q28" s="2"/>
    </row>
    <row r="29" spans="1:17" ht="15.75" x14ac:dyDescent="0.25">
      <c r="A29" s="104" t="s">
        <v>264</v>
      </c>
      <c r="B29" s="105">
        <f t="shared" ref="B29:M29" si="0">IFERROR(Irrigation_Area2*Days_Irrigated2*B$27,0)</f>
        <v>0</v>
      </c>
      <c r="C29" s="105">
        <f t="shared" si="0"/>
        <v>0</v>
      </c>
      <c r="D29" s="105">
        <f t="shared" si="0"/>
        <v>0</v>
      </c>
      <c r="E29" s="105">
        <f t="shared" si="0"/>
        <v>0</v>
      </c>
      <c r="F29" s="105">
        <f t="shared" si="0"/>
        <v>0</v>
      </c>
      <c r="G29" s="105">
        <f t="shared" si="0"/>
        <v>0</v>
      </c>
      <c r="H29" s="105">
        <f t="shared" si="0"/>
        <v>0</v>
      </c>
      <c r="I29" s="105">
        <f t="shared" si="0"/>
        <v>0</v>
      </c>
      <c r="J29" s="105">
        <f t="shared" si="0"/>
        <v>0</v>
      </c>
      <c r="K29" s="105">
        <f t="shared" si="0"/>
        <v>0</v>
      </c>
      <c r="L29" s="105">
        <f t="shared" si="0"/>
        <v>0</v>
      </c>
      <c r="M29" s="105">
        <f t="shared" si="0"/>
        <v>0</v>
      </c>
      <c r="N29" s="106">
        <f>SUM('Calculation Sheet 2'!$B29:$M29)</f>
        <v>0</v>
      </c>
      <c r="O29" s="2"/>
      <c r="P29" s="3"/>
      <c r="Q29" s="2"/>
    </row>
    <row r="30" spans="1:17" ht="15.75" x14ac:dyDescent="0.25">
      <c r="A30" s="104" t="s">
        <v>266</v>
      </c>
      <c r="B30" s="243">
        <f>B29*Conversions!$B$4</f>
        <v>0</v>
      </c>
      <c r="C30" s="243">
        <f>C29*Conversions!$B$4</f>
        <v>0</v>
      </c>
      <c r="D30" s="243">
        <f>D29*Conversions!$B$4</f>
        <v>0</v>
      </c>
      <c r="E30" s="243">
        <f>E29*Conversions!$B$4</f>
        <v>0</v>
      </c>
      <c r="F30" s="243">
        <f>F29*Conversions!$B$4</f>
        <v>0</v>
      </c>
      <c r="G30" s="243">
        <f>G29*Conversions!$B$4</f>
        <v>0</v>
      </c>
      <c r="H30" s="243">
        <f>H29*Conversions!$B$4</f>
        <v>0</v>
      </c>
      <c r="I30" s="243">
        <f>I29*Conversions!$B$4</f>
        <v>0</v>
      </c>
      <c r="J30" s="243">
        <f>J29*Conversions!$B$4</f>
        <v>0</v>
      </c>
      <c r="K30" s="243">
        <f>K29*Conversions!$B$4</f>
        <v>0</v>
      </c>
      <c r="L30" s="243">
        <f>L29*Conversions!$B$4</f>
        <v>0</v>
      </c>
      <c r="M30" s="243">
        <f>M29*Conversions!$B$4</f>
        <v>0</v>
      </c>
      <c r="N30" s="243">
        <f>N29*Conversions!$B$4</f>
        <v>0</v>
      </c>
      <c r="O30" s="2"/>
      <c r="P30" s="3"/>
      <c r="Q30" s="2"/>
    </row>
    <row r="31" spans="1:17" x14ac:dyDescent="0.25">
      <c r="A31" s="43"/>
      <c r="B31" s="19"/>
      <c r="O31" s="2"/>
      <c r="P31" s="3"/>
      <c r="Q31" s="2"/>
    </row>
    <row r="32" spans="1:17" ht="18.75" x14ac:dyDescent="0.3">
      <c r="A32" s="21" t="s">
        <v>93</v>
      </c>
      <c r="B32" s="18"/>
      <c r="C32" s="18"/>
      <c r="D32" s="18"/>
      <c r="E32" s="18"/>
      <c r="F32" s="18"/>
      <c r="G32" s="18"/>
      <c r="H32" s="18"/>
      <c r="I32" s="18"/>
      <c r="J32" s="19"/>
      <c r="K32" s="18"/>
      <c r="L32" s="18"/>
      <c r="M32" s="18"/>
      <c r="N32" s="18"/>
    </row>
    <row r="33" spans="1:15" x14ac:dyDescent="0.25">
      <c r="A33" s="125" t="s">
        <v>84</v>
      </c>
      <c r="B33" s="126" t="s">
        <v>63</v>
      </c>
      <c r="C33" s="126" t="s">
        <v>64</v>
      </c>
      <c r="D33" s="126" t="s">
        <v>65</v>
      </c>
      <c r="E33" s="126" t="s">
        <v>66</v>
      </c>
      <c r="F33" s="126" t="s">
        <v>67</v>
      </c>
      <c r="G33" s="126" t="s">
        <v>68</v>
      </c>
      <c r="H33" s="126" t="s">
        <v>69</v>
      </c>
      <c r="I33" s="126" t="s">
        <v>70</v>
      </c>
      <c r="J33" s="126" t="s">
        <v>71</v>
      </c>
      <c r="K33" s="126" t="s">
        <v>72</v>
      </c>
      <c r="L33" s="126" t="s">
        <v>73</v>
      </c>
      <c r="M33" s="126" t="s">
        <v>74</v>
      </c>
      <c r="N33" s="126" t="s">
        <v>77</v>
      </c>
    </row>
    <row r="34" spans="1:15" x14ac:dyDescent="0.25">
      <c r="A34" s="109" t="s">
        <v>96</v>
      </c>
      <c r="B34" s="110">
        <f>IFERROR(INDEX(Assumptions!$A$26:$B$31, MATCH('Calculation Sheet 2'!$H$3,TypeStockC,0),2),0)</f>
        <v>0</v>
      </c>
      <c r="C34" s="110">
        <f>IFERROR(INDEX(Assumptions!$A$26:$B$31, MATCH('Calculation Sheet 2'!$H$3,TypeStockC,0),2),0)</f>
        <v>0</v>
      </c>
      <c r="D34" s="110">
        <f>IFERROR(INDEX(Assumptions!$A$26:$B$31, MATCH('Calculation Sheet 2'!$H$3,TypeStockC,0),2),0)</f>
        <v>0</v>
      </c>
      <c r="E34" s="110">
        <f>IFERROR(INDEX(Assumptions!$A$26:$B$31, MATCH('Calculation Sheet 2'!$H$3,TypeStockC,0),2),0)</f>
        <v>0</v>
      </c>
      <c r="F34" s="110">
        <f>IFERROR(INDEX(Assumptions!$A$26:$B$31, MATCH('Calculation Sheet 2'!$H$3,TypeStockC,0),2),0)</f>
        <v>0</v>
      </c>
      <c r="G34" s="110">
        <f>IFERROR(INDEX(Assumptions!$A$26:$B$31, MATCH('Calculation Sheet 2'!$H$3,TypeStockC,0),2),0)</f>
        <v>0</v>
      </c>
      <c r="H34" s="110">
        <f>IFERROR(INDEX(Assumptions!$A$26:$B$31, MATCH('Calculation Sheet 2'!$H$3,TypeStockC,0),2),0)</f>
        <v>0</v>
      </c>
      <c r="I34" s="110">
        <f>IFERROR(INDEX(Assumptions!$A$26:$B$31, MATCH('Calculation Sheet 2'!$H$3,TypeStockC,0),2),0)</f>
        <v>0</v>
      </c>
      <c r="J34" s="110">
        <f>IFERROR(INDEX(Assumptions!$A$26:$B$31, MATCH('Calculation Sheet 2'!$H$3,TypeStockC,0),2),0)</f>
        <v>0</v>
      </c>
      <c r="K34" s="110">
        <f>IFERROR(INDEX(Assumptions!$A$26:$B$31, MATCH('Calculation Sheet 2'!$H$3,TypeStockC,0),2),0)</f>
        <v>0</v>
      </c>
      <c r="L34" s="110">
        <f>IFERROR(INDEX(Assumptions!$A$26:$B$31, MATCH('Calculation Sheet 2'!$H$3,TypeStockC,0),2),0)</f>
        <v>0</v>
      </c>
      <c r="M34" s="110">
        <f>IFERROR(INDEX(Assumptions!$A$26:$B$31, MATCH('Calculation Sheet 2'!$H$3,TypeStockC,0),2),0)</f>
        <v>0</v>
      </c>
      <c r="N34" s="111"/>
    </row>
    <row r="35" spans="1:15" x14ac:dyDescent="0.25">
      <c r="A35" s="112" t="s">
        <v>86</v>
      </c>
      <c r="B35" s="78">
        <f>'Entry Sheet'!B46</f>
        <v>0</v>
      </c>
      <c r="C35" s="78">
        <f>'Entry Sheet'!C46</f>
        <v>0</v>
      </c>
      <c r="D35" s="78">
        <f>'Entry Sheet'!D46</f>
        <v>0</v>
      </c>
      <c r="E35" s="78">
        <f>'Entry Sheet'!E46</f>
        <v>0</v>
      </c>
      <c r="F35" s="78">
        <f>'Entry Sheet'!F46</f>
        <v>0</v>
      </c>
      <c r="G35" s="78">
        <f>'Entry Sheet'!G46</f>
        <v>0</v>
      </c>
      <c r="H35" s="78">
        <f>'Entry Sheet'!H46</f>
        <v>0</v>
      </c>
      <c r="I35" s="78">
        <f>'Entry Sheet'!I46</f>
        <v>0</v>
      </c>
      <c r="J35" s="78">
        <f>'Entry Sheet'!J46</f>
        <v>0</v>
      </c>
      <c r="K35" s="78">
        <f>'Entry Sheet'!K46</f>
        <v>0</v>
      </c>
      <c r="L35" s="78">
        <f>'Entry Sheet'!L46</f>
        <v>0</v>
      </c>
      <c r="M35" s="78">
        <f>'Entry Sheet'!M46</f>
        <v>0</v>
      </c>
      <c r="N35" s="113">
        <f>SUM('Calculation Sheet 2'!$B35:$M35)</f>
        <v>0</v>
      </c>
    </row>
    <row r="36" spans="1:15" ht="15.75" x14ac:dyDescent="0.25">
      <c r="A36" s="114" t="s">
        <v>265</v>
      </c>
      <c r="B36" s="115">
        <f>IFERROR(B$34*$H$4*Days_Stockwatering2/Conversions!$B$3,0)</f>
        <v>0</v>
      </c>
      <c r="C36" s="115">
        <f>IFERROR(C$34*$H$4*Days_Stockwatering2/Conversions!$B$3,0)</f>
        <v>0</v>
      </c>
      <c r="D36" s="115">
        <f>IFERROR(D$34*$H$4*Days_Stockwatering2/Conversions!$B$3,0)</f>
        <v>0</v>
      </c>
      <c r="E36" s="115">
        <f>IFERROR(E$34*$H$4*Days_Stockwatering2/Conversions!$B$3,0)</f>
        <v>0</v>
      </c>
      <c r="F36" s="115">
        <f>IFERROR(F$34*$H$4*Days_Stockwatering2/Conversions!$B$3,0)</f>
        <v>0</v>
      </c>
      <c r="G36" s="115">
        <f>IFERROR(G$34*$H$4*Days_Stockwatering2/Conversions!$B$3,0)</f>
        <v>0</v>
      </c>
      <c r="H36" s="115">
        <f>IFERROR(H$34*$H$4*Days_Stockwatering2/Conversions!$B$3,0)</f>
        <v>0</v>
      </c>
      <c r="I36" s="115">
        <f>IFERROR(I$34*$H$4*Days_Stockwatering2/Conversions!$B$3,0)</f>
        <v>0</v>
      </c>
      <c r="J36" s="115">
        <f>IFERROR(J$34*$H$4*Days_Stockwatering2/Conversions!$B$3,0)</f>
        <v>0</v>
      </c>
      <c r="K36" s="115">
        <f>IFERROR(K$34*$H$4*Days_Stockwatering2/Conversions!$B$3,0)</f>
        <v>0</v>
      </c>
      <c r="L36" s="115">
        <f>IFERROR(L$34*$H$4*Days_Stockwatering2/Conversions!$B$3,0)</f>
        <v>0</v>
      </c>
      <c r="M36" s="115">
        <f>IFERROR(M$34*$H$4*Days_Stockwatering2/Conversions!$B$3,0)</f>
        <v>0</v>
      </c>
      <c r="N36" s="115">
        <f>SUM('Calculation Sheet 2'!$B36:$M36)</f>
        <v>0</v>
      </c>
    </row>
    <row r="37" spans="1:15" ht="15.75" x14ac:dyDescent="0.25">
      <c r="A37" s="114" t="s">
        <v>268</v>
      </c>
      <c r="B37" s="71">
        <f>B36*Conversions!$B$4</f>
        <v>0</v>
      </c>
      <c r="C37" s="71">
        <f>C36*Conversions!$B$4</f>
        <v>0</v>
      </c>
      <c r="D37" s="71">
        <f>D36*Conversions!$B$4</f>
        <v>0</v>
      </c>
      <c r="E37" s="71">
        <f>E36*Conversions!$B$4</f>
        <v>0</v>
      </c>
      <c r="F37" s="71">
        <f>F36*Conversions!$B$4</f>
        <v>0</v>
      </c>
      <c r="G37" s="71">
        <f>G36*Conversions!$B$4</f>
        <v>0</v>
      </c>
      <c r="H37" s="71">
        <f>H36*Conversions!$B$4</f>
        <v>0</v>
      </c>
      <c r="I37" s="71">
        <f>I36*Conversions!$B$4</f>
        <v>0</v>
      </c>
      <c r="J37" s="71">
        <f>J36*Conversions!$B$4</f>
        <v>0</v>
      </c>
      <c r="K37" s="71">
        <f>K36*Conversions!$B$4</f>
        <v>0</v>
      </c>
      <c r="L37" s="71">
        <f>L36*Conversions!$B$4</f>
        <v>0</v>
      </c>
      <c r="M37" s="71">
        <f>M36*Conversions!$B$4</f>
        <v>0</v>
      </c>
      <c r="N37" s="71">
        <f>N36*Conversions!$B$4</f>
        <v>0</v>
      </c>
    </row>
    <row r="38" spans="1:15" ht="15.75" x14ac:dyDescent="0.25">
      <c r="A38" s="45"/>
      <c r="B38" s="45"/>
      <c r="C38" s="45"/>
      <c r="D38" s="45"/>
      <c r="E38" s="45"/>
      <c r="F38" s="45"/>
      <c r="G38" s="45"/>
      <c r="H38" s="45"/>
      <c r="I38" s="45"/>
      <c r="J38" s="45"/>
      <c r="K38" s="45"/>
      <c r="L38" s="45"/>
      <c r="M38" s="45"/>
      <c r="N38" s="45"/>
      <c r="O38" s="44"/>
    </row>
    <row r="39" spans="1:15" s="47" customFormat="1" ht="21" x14ac:dyDescent="0.35">
      <c r="A39" s="23" t="s">
        <v>99</v>
      </c>
      <c r="B39" s="18"/>
      <c r="C39" s="18"/>
      <c r="D39" s="18"/>
      <c r="E39" s="18"/>
      <c r="F39" s="18"/>
      <c r="G39" s="18"/>
      <c r="H39" s="18"/>
      <c r="I39" s="18"/>
      <c r="J39" s="19"/>
      <c r="K39" s="18"/>
      <c r="L39" s="18"/>
      <c r="M39" s="18"/>
      <c r="N39" s="18"/>
      <c r="O39" s="46"/>
    </row>
    <row r="40" spans="1:15" x14ac:dyDescent="0.25">
      <c r="A40" s="127" t="s">
        <v>84</v>
      </c>
      <c r="B40" s="128" t="s">
        <v>63</v>
      </c>
      <c r="C40" s="128" t="s">
        <v>64</v>
      </c>
      <c r="D40" s="128" t="s">
        <v>65</v>
      </c>
      <c r="E40" s="128" t="s">
        <v>66</v>
      </c>
      <c r="F40" s="128" t="s">
        <v>67</v>
      </c>
      <c r="G40" s="128" t="s">
        <v>68</v>
      </c>
      <c r="H40" s="128" t="s">
        <v>69</v>
      </c>
      <c r="I40" s="128" t="s">
        <v>70</v>
      </c>
      <c r="J40" s="128" t="s">
        <v>71</v>
      </c>
      <c r="K40" s="128" t="s">
        <v>72</v>
      </c>
      <c r="L40" s="128" t="s">
        <v>73</v>
      </c>
      <c r="M40" s="128" t="s">
        <v>74</v>
      </c>
      <c r="N40" s="129" t="s">
        <v>77</v>
      </c>
    </row>
    <row r="41" spans="1:15" x14ac:dyDescent="0.25">
      <c r="A41" s="119" t="s">
        <v>100</v>
      </c>
      <c r="B41" s="304">
        <f t="shared" ref="B41:M41" si="1">SUMIFS(B$13:B$40, $A$13:$A$40,"*Total*",$A$13:$A$40, "*AF*")</f>
        <v>0</v>
      </c>
      <c r="C41" s="304">
        <f t="shared" si="1"/>
        <v>0</v>
      </c>
      <c r="D41" s="304">
        <f t="shared" si="1"/>
        <v>0</v>
      </c>
      <c r="E41" s="304">
        <f t="shared" si="1"/>
        <v>0</v>
      </c>
      <c r="F41" s="304">
        <f t="shared" si="1"/>
        <v>0</v>
      </c>
      <c r="G41" s="304">
        <f t="shared" si="1"/>
        <v>0</v>
      </c>
      <c r="H41" s="304">
        <f t="shared" si="1"/>
        <v>0</v>
      </c>
      <c r="I41" s="304">
        <f t="shared" si="1"/>
        <v>0</v>
      </c>
      <c r="J41" s="304">
        <f t="shared" si="1"/>
        <v>0</v>
      </c>
      <c r="K41" s="304">
        <f t="shared" si="1"/>
        <v>0</v>
      </c>
      <c r="L41" s="304">
        <f t="shared" si="1"/>
        <v>0</v>
      </c>
      <c r="M41" s="304">
        <f t="shared" si="1"/>
        <v>0</v>
      </c>
      <c r="N41" s="305">
        <f>SUM('Calculation Sheet 2'!$B41:$M41)</f>
        <v>0</v>
      </c>
    </row>
    <row r="42" spans="1:15" ht="15.75" thickBot="1" x14ac:dyDescent="0.3">
      <c r="A42" s="120" t="s">
        <v>101</v>
      </c>
      <c r="B42" s="306">
        <f>B41*Conversions!$B$4</f>
        <v>0</v>
      </c>
      <c r="C42" s="306">
        <f>C41*Conversions!$B$4</f>
        <v>0</v>
      </c>
      <c r="D42" s="306">
        <f>D41*Conversions!$B$4</f>
        <v>0</v>
      </c>
      <c r="E42" s="306">
        <f>E41*Conversions!$B$4</f>
        <v>0</v>
      </c>
      <c r="F42" s="306">
        <f>F41*Conversions!$B$4</f>
        <v>0</v>
      </c>
      <c r="G42" s="306">
        <f>G41*Conversions!$B$4</f>
        <v>0</v>
      </c>
      <c r="H42" s="306">
        <f>H41*Conversions!$B$4</f>
        <v>0</v>
      </c>
      <c r="I42" s="306">
        <f>I41*Conversions!$B$4</f>
        <v>0</v>
      </c>
      <c r="J42" s="306">
        <f>J41*Conversions!$B$4</f>
        <v>0</v>
      </c>
      <c r="K42" s="306">
        <f>K41*Conversions!$B$4</f>
        <v>0</v>
      </c>
      <c r="L42" s="306">
        <f>L41*Conversions!$B$4</f>
        <v>0</v>
      </c>
      <c r="M42" s="306">
        <f>M41*Conversions!$B$4</f>
        <v>0</v>
      </c>
      <c r="N42" s="307">
        <f>N41*Conversions!$B$4</f>
        <v>0</v>
      </c>
    </row>
    <row r="43" spans="1:15" x14ac:dyDescent="0.25">
      <c r="A43" s="18"/>
      <c r="B43" s="18"/>
      <c r="C43" s="18"/>
      <c r="D43" s="18"/>
      <c r="E43" s="18"/>
      <c r="F43" s="18"/>
      <c r="G43" s="18"/>
      <c r="H43" s="18"/>
      <c r="I43" s="18"/>
      <c r="J43" s="19"/>
      <c r="K43" s="18"/>
      <c r="L43" s="18"/>
      <c r="M43" s="18"/>
      <c r="N43" s="18"/>
    </row>
    <row r="44" spans="1:15" x14ac:dyDescent="0.25">
      <c r="E44"/>
    </row>
    <row r="45" spans="1:15" x14ac:dyDescent="0.25">
      <c r="E45"/>
    </row>
    <row r="46" spans="1:15" x14ac:dyDescent="0.25">
      <c r="E46"/>
    </row>
    <row r="47" spans="1:15" x14ac:dyDescent="0.25">
      <c r="E47"/>
    </row>
    <row r="48" spans="1:1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sheetData>
  <sheetProtection formatColumns="0" formatRows="0" insertColumns="0" insertRows="0" insertHyperlinks="0" deleteColumns="0" deleteRows="0" sort="0" autoFilter="0" pivotTables="0"/>
  <customSheetViews>
    <customSheetView guid="{A3E8C8DD-8C60-4C83-AE95-312CF58B6ABA}" topLeftCell="A7">
      <selection activeCell="L40" sqref="L40"/>
      <pageMargins left="0.7" right="0.7" top="0.75" bottom="0.75" header="0.3" footer="0.3"/>
      <pageSetup orientation="portrait" r:id="rId1"/>
    </customSheetView>
  </customSheetViews>
  <mergeCells count="3">
    <mergeCell ref="A2:B2"/>
    <mergeCell ref="D2:E2"/>
    <mergeCell ref="G2:H2"/>
  </mergeCells>
  <dataValidations count="1">
    <dataValidation type="list" allowBlank="1" showInputMessage="1" showErrorMessage="1" sqref="E4">
      <formula1>Irrigation_Crop</formula1>
    </dataValidation>
  </dataValidation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tint="4.9989318521683403E-2"/>
  </sheetPr>
  <dimension ref="A1:Q64"/>
  <sheetViews>
    <sheetView topLeftCell="A7" workbookViewId="0">
      <selection activeCell="B41" sqref="B41"/>
    </sheetView>
  </sheetViews>
  <sheetFormatPr defaultRowHeight="15" x14ac:dyDescent="0.25"/>
  <cols>
    <col min="1" max="1" width="30.85546875" customWidth="1"/>
    <col min="2" max="2" width="19.7109375" customWidth="1"/>
    <col min="3" max="3" width="22.5703125" customWidth="1"/>
    <col min="4" max="4" width="19.28515625" customWidth="1"/>
    <col min="5" max="5" width="19.7109375" style="2" customWidth="1"/>
    <col min="6" max="6" width="12.7109375" bestFit="1" customWidth="1"/>
    <col min="7" max="7" width="14.42578125" customWidth="1"/>
    <col min="8" max="8" width="20" bestFit="1" customWidth="1"/>
    <col min="9" max="9" width="12.7109375" bestFit="1" customWidth="1"/>
    <col min="10" max="10" width="12.7109375" style="2" bestFit="1" customWidth="1"/>
    <col min="11" max="11" width="12.7109375" bestFit="1" customWidth="1"/>
    <col min="12" max="13" width="12" customWidth="1"/>
    <col min="14" max="14" width="12.140625" bestFit="1" customWidth="1"/>
    <col min="15" max="15" width="11.5703125" bestFit="1" customWidth="1"/>
    <col min="16" max="16" width="9.5703125" customWidth="1"/>
  </cols>
  <sheetData>
    <row r="1" spans="1:17" ht="15.75" x14ac:dyDescent="0.25">
      <c r="A1" s="4" t="s">
        <v>49</v>
      </c>
    </row>
    <row r="2" spans="1:17" ht="15.75" x14ac:dyDescent="0.25">
      <c r="A2" s="326" t="s">
        <v>50</v>
      </c>
      <c r="B2" s="327"/>
      <c r="D2" s="328" t="s">
        <v>76</v>
      </c>
      <c r="E2" s="328"/>
      <c r="G2" s="329" t="s">
        <v>87</v>
      </c>
      <c r="H2" s="330"/>
    </row>
    <row r="3" spans="1:17" x14ac:dyDescent="0.25">
      <c r="A3" s="26" t="s">
        <v>78</v>
      </c>
      <c r="B3" s="48">
        <f>'Entry Sheet'!B3</f>
        <v>0</v>
      </c>
      <c r="D3" s="24" t="s">
        <v>262</v>
      </c>
      <c r="E3" s="241">
        <f>'Entry Sheet'!E3</f>
        <v>0</v>
      </c>
      <c r="G3" s="24" t="s">
        <v>83</v>
      </c>
      <c r="H3" s="242">
        <f>TypeComStock3</f>
        <v>0</v>
      </c>
    </row>
    <row r="4" spans="1:17" ht="18.75" customHeight="1" x14ac:dyDescent="0.25">
      <c r="A4" s="25" t="s">
        <v>52</v>
      </c>
      <c r="B4" s="48">
        <f>'Entry Sheet'!B4</f>
        <v>0</v>
      </c>
      <c r="C4" s="2"/>
      <c r="D4" s="39" t="s">
        <v>90</v>
      </c>
      <c r="E4" s="242">
        <f>TypeCrop3</f>
        <v>0</v>
      </c>
      <c r="G4" s="24" t="s">
        <v>82</v>
      </c>
      <c r="H4" s="242">
        <f>NumComStock3</f>
        <v>0</v>
      </c>
      <c r="I4" s="2"/>
      <c r="J4"/>
    </row>
    <row r="5" spans="1:17" x14ac:dyDescent="0.25">
      <c r="A5" s="27" t="s">
        <v>80</v>
      </c>
      <c r="B5" s="48">
        <f>TypeStock3</f>
        <v>0</v>
      </c>
      <c r="C5" s="2"/>
      <c r="D5" s="39" t="s">
        <v>79</v>
      </c>
      <c r="E5" s="242">
        <f>NumCrop3</f>
        <v>0</v>
      </c>
      <c r="I5" s="2"/>
      <c r="J5"/>
    </row>
    <row r="6" spans="1:17" x14ac:dyDescent="0.25">
      <c r="A6" s="27" t="s">
        <v>81</v>
      </c>
      <c r="B6" s="48">
        <f>NumStock3</f>
        <v>0</v>
      </c>
      <c r="C6" s="19"/>
      <c r="E6"/>
      <c r="F6" s="18"/>
      <c r="G6" s="18"/>
      <c r="H6" s="18"/>
      <c r="I6" s="19"/>
      <c r="J6" s="18"/>
      <c r="K6" s="18"/>
      <c r="L6" s="18"/>
      <c r="M6" s="18"/>
      <c r="N6" s="18"/>
    </row>
    <row r="7" spans="1:17" x14ac:dyDescent="0.25">
      <c r="C7" s="19"/>
      <c r="D7" s="19"/>
      <c r="E7" s="18"/>
      <c r="F7" s="18"/>
      <c r="G7" s="18"/>
      <c r="H7" s="18"/>
      <c r="I7" s="19"/>
      <c r="J7" s="18"/>
      <c r="K7" s="18"/>
      <c r="L7" s="18"/>
      <c r="M7" s="18"/>
      <c r="N7" s="18"/>
    </row>
    <row r="8" spans="1:17" x14ac:dyDescent="0.25">
      <c r="C8" s="19"/>
      <c r="D8" s="19"/>
      <c r="E8" s="18"/>
      <c r="F8" s="18"/>
      <c r="G8" s="18"/>
      <c r="H8" s="18"/>
      <c r="I8" s="19"/>
      <c r="J8" s="18"/>
      <c r="K8" s="18"/>
      <c r="L8" s="18"/>
      <c r="M8" s="18"/>
      <c r="N8" s="18"/>
    </row>
    <row r="9" spans="1:17" x14ac:dyDescent="0.25">
      <c r="A9" s="18"/>
      <c r="B9" s="17"/>
      <c r="C9" s="19"/>
      <c r="D9" s="19"/>
      <c r="E9" s="18"/>
      <c r="F9" s="18"/>
      <c r="G9" s="18"/>
      <c r="H9" s="18"/>
      <c r="I9" s="19"/>
      <c r="J9" s="18"/>
      <c r="K9" s="18"/>
      <c r="L9" s="18"/>
      <c r="M9" s="18"/>
      <c r="N9" s="18"/>
    </row>
    <row r="10" spans="1:17" x14ac:dyDescent="0.25">
      <c r="A10" s="37" t="s">
        <v>111</v>
      </c>
      <c r="B10" s="35"/>
      <c r="C10" s="36"/>
      <c r="D10" s="36"/>
      <c r="E10" s="37"/>
      <c r="F10" s="18"/>
      <c r="G10" s="18"/>
      <c r="H10" s="18"/>
      <c r="I10" s="19"/>
      <c r="J10" s="18"/>
      <c r="K10" s="18"/>
      <c r="L10" s="18"/>
      <c r="M10" s="18"/>
      <c r="N10" s="18"/>
    </row>
    <row r="11" spans="1:17" x14ac:dyDescent="0.25">
      <c r="A11" s="37"/>
      <c r="B11" s="35"/>
      <c r="C11" s="36"/>
      <c r="D11" s="36"/>
      <c r="E11" s="37"/>
      <c r="F11" s="18"/>
      <c r="G11" s="18"/>
      <c r="H11" s="18"/>
      <c r="I11" s="19"/>
      <c r="J11" s="18"/>
      <c r="K11" s="18"/>
      <c r="L11" s="18"/>
      <c r="M11" s="18"/>
      <c r="N11" s="18"/>
    </row>
    <row r="12" spans="1:17" ht="18.75" x14ac:dyDescent="0.25">
      <c r="A12" s="38" t="s">
        <v>91</v>
      </c>
      <c r="B12" s="17"/>
      <c r="C12" s="19"/>
      <c r="D12" s="19"/>
      <c r="E12" s="18"/>
      <c r="F12" s="18"/>
      <c r="G12" s="18"/>
      <c r="H12" s="18"/>
      <c r="I12" s="19"/>
      <c r="J12" s="18"/>
      <c r="K12" s="18"/>
      <c r="L12" s="18"/>
      <c r="M12" s="18"/>
      <c r="N12" s="18"/>
    </row>
    <row r="13" spans="1:17" x14ac:dyDescent="0.25">
      <c r="A13" s="72" t="s">
        <v>84</v>
      </c>
      <c r="B13" s="73" t="s">
        <v>63</v>
      </c>
      <c r="C13" s="73" t="s">
        <v>64</v>
      </c>
      <c r="D13" s="73" t="s">
        <v>65</v>
      </c>
      <c r="E13" s="73" t="s">
        <v>66</v>
      </c>
      <c r="F13" s="73" t="s">
        <v>67</v>
      </c>
      <c r="G13" s="73" t="s">
        <v>68</v>
      </c>
      <c r="H13" s="73" t="s">
        <v>69</v>
      </c>
      <c r="I13" s="73" t="s">
        <v>70</v>
      </c>
      <c r="J13" s="73" t="s">
        <v>71</v>
      </c>
      <c r="K13" s="73" t="s">
        <v>72</v>
      </c>
      <c r="L13" s="73" t="s">
        <v>73</v>
      </c>
      <c r="M13" s="73" t="s">
        <v>74</v>
      </c>
      <c r="N13" s="74" t="s">
        <v>77</v>
      </c>
      <c r="O13" s="2"/>
      <c r="P13" s="3"/>
      <c r="Q13" s="2"/>
    </row>
    <row r="14" spans="1:17" x14ac:dyDescent="0.25">
      <c r="A14" s="84" t="s">
        <v>98</v>
      </c>
      <c r="B14" s="85">
        <f>IFERROR(INDEX(Assumptions!$A$14:$B$17,MATCH(EntryStock,TypeStockD,0),2),0)</f>
        <v>0</v>
      </c>
      <c r="C14" s="85">
        <f>IFERROR(INDEX(Assumptions!$A$14:$B$17,MATCH(EntryStock,TypeStockD,0),2),0)</f>
        <v>0</v>
      </c>
      <c r="D14" s="85">
        <f>IFERROR(INDEX(Assumptions!$A$14:$B$17,MATCH(EntryStock,TypeStockD,0),2),0)</f>
        <v>0</v>
      </c>
      <c r="E14" s="85">
        <f>IFERROR(INDEX(Assumptions!$A$14:$B$17,MATCH(EntryStock,TypeStockD,0),2),0)</f>
        <v>0</v>
      </c>
      <c r="F14" s="85">
        <f>IFERROR(INDEX(Assumptions!$A$14:$B$17,MATCH(EntryStock,TypeStockD,0),2),0)</f>
        <v>0</v>
      </c>
      <c r="G14" s="85">
        <f>IFERROR(INDEX(Assumptions!$A$14:$B$17,MATCH(EntryStock,TypeStockD,0),2),0)</f>
        <v>0</v>
      </c>
      <c r="H14" s="85">
        <f>IFERROR(INDEX(Assumptions!$A$14:$B$17,MATCH(EntryStock,TypeStockD,0),2),0)</f>
        <v>0</v>
      </c>
      <c r="I14" s="85">
        <f>IFERROR(INDEX(Assumptions!$A$14:$B$17,MATCH(EntryStock,TypeStockD,0),2),0)</f>
        <v>0</v>
      </c>
      <c r="J14" s="85">
        <f>IFERROR(INDEX(Assumptions!$A$14:$B$17,MATCH(EntryStock,TypeStockD,0),2),0)</f>
        <v>0</v>
      </c>
      <c r="K14" s="85">
        <f>IFERROR(INDEX(Assumptions!$A$14:$B$17,MATCH(EntryStock,TypeStockD,0),2),0)</f>
        <v>0</v>
      </c>
      <c r="L14" s="85">
        <f>IFERROR(INDEX(Assumptions!$A$14:$B$17,MATCH(EntryStock,TypeStockD,0),2),0)</f>
        <v>0</v>
      </c>
      <c r="M14" s="85">
        <f>IFERROR(INDEX(Assumptions!$A$14:$B$17,MATCH(EntryStock,TypeStockD,0),2),0)</f>
        <v>0</v>
      </c>
      <c r="N14" s="86">
        <f>SUM('Calculation Sheet 3'!$B14:$M14)</f>
        <v>0</v>
      </c>
      <c r="O14" s="2"/>
      <c r="P14" s="3"/>
      <c r="Q14" s="2"/>
    </row>
    <row r="15" spans="1:17" x14ac:dyDescent="0.25">
      <c r="A15" s="80" t="s">
        <v>89</v>
      </c>
      <c r="B15" s="78">
        <f>'Entry Sheet'!B30</f>
        <v>0</v>
      </c>
      <c r="C15" s="78">
        <f>'Entry Sheet'!C30</f>
        <v>0</v>
      </c>
      <c r="D15" s="78">
        <f>'Entry Sheet'!D30</f>
        <v>0</v>
      </c>
      <c r="E15" s="78">
        <f>'Entry Sheet'!E30</f>
        <v>0</v>
      </c>
      <c r="F15" s="78">
        <f>'Entry Sheet'!F30</f>
        <v>0</v>
      </c>
      <c r="G15" s="78">
        <f>'Entry Sheet'!G30</f>
        <v>0</v>
      </c>
      <c r="H15" s="78">
        <f>'Entry Sheet'!H30</f>
        <v>0</v>
      </c>
      <c r="I15" s="78">
        <f>'Entry Sheet'!I30</f>
        <v>0</v>
      </c>
      <c r="J15" s="78">
        <f>'Entry Sheet'!J30</f>
        <v>0</v>
      </c>
      <c r="K15" s="78">
        <f>'Entry Sheet'!K30</f>
        <v>0</v>
      </c>
      <c r="L15" s="78">
        <f>'Entry Sheet'!L30</f>
        <v>0</v>
      </c>
      <c r="M15" s="78">
        <f>'Entry Sheet'!M30</f>
        <v>0</v>
      </c>
      <c r="N15" s="87">
        <f>SUM('Calculation Sheet 3'!$B15:$M15)</f>
        <v>0</v>
      </c>
      <c r="O15" s="2"/>
      <c r="P15" s="3"/>
      <c r="Q15" s="2"/>
    </row>
    <row r="16" spans="1:17" x14ac:dyDescent="0.25">
      <c r="A16" s="77" t="s">
        <v>110</v>
      </c>
      <c r="B16" s="88">
        <f>Stock*B$14*DaysStockwatering1/Conversions!$B$4</f>
        <v>0</v>
      </c>
      <c r="C16" s="88">
        <f>Stock*C$14*DaysStockwatering1/Conversions!$B$4</f>
        <v>0</v>
      </c>
      <c r="D16" s="88">
        <f>Stock*D$14*DaysStockwatering1/Conversions!$B$4</f>
        <v>0</v>
      </c>
      <c r="E16" s="88">
        <f>Stock*E$14*DaysStockwatering1/Conversions!$B$4</f>
        <v>0</v>
      </c>
      <c r="F16" s="88">
        <f>Stock*F$14*DaysStockwatering1/Conversions!$B$4</f>
        <v>0</v>
      </c>
      <c r="G16" s="88">
        <f>Stock*G$14*DaysStockwatering1/Conversions!$B$4</f>
        <v>0</v>
      </c>
      <c r="H16" s="88">
        <f>Stock*H$14*DaysStockwatering1/Conversions!$B$4</f>
        <v>0</v>
      </c>
      <c r="I16" s="88">
        <f>Stock*I$14*DaysStockwatering1/Conversions!$B$4</f>
        <v>0</v>
      </c>
      <c r="J16" s="88">
        <f>Stock*J$14*DaysStockwatering1/Conversions!$B$4</f>
        <v>0</v>
      </c>
      <c r="K16" s="88">
        <f>Stock*K$14*DaysStockwatering1/Conversions!$B$4</f>
        <v>0</v>
      </c>
      <c r="L16" s="88">
        <f>Stock*L$14*DaysStockwatering1/Conversions!$B$4</f>
        <v>0</v>
      </c>
      <c r="M16" s="88">
        <f>Stock*M$14*DaysStockwatering1/Conversions!$B$4</f>
        <v>0</v>
      </c>
      <c r="N16" s="86">
        <f>SUM('Calculation Sheet 3'!$B16:$M16)</f>
        <v>0</v>
      </c>
      <c r="O16" s="2"/>
      <c r="P16" s="3"/>
      <c r="Q16" s="2"/>
    </row>
    <row r="17" spans="1:17" ht="15.75" x14ac:dyDescent="0.25">
      <c r="A17" s="92" t="s">
        <v>107</v>
      </c>
      <c r="B17" s="93">
        <f>SUMIF($A$14:$A$16, "*AF*",B$14:$B$16)</f>
        <v>0</v>
      </c>
      <c r="C17" s="93">
        <f>SUMIF($A$14:$A$16, "*AF*",$B$14:C$16)</f>
        <v>0</v>
      </c>
      <c r="D17" s="93">
        <f>SUMIF($A$14:$A$16, "*AF*",$B$14:D$16)</f>
        <v>0</v>
      </c>
      <c r="E17" s="93">
        <f>SUMIF($A$14:$A$16, "*AF*",$B$14:E$16)</f>
        <v>0</v>
      </c>
      <c r="F17" s="93">
        <f>SUMIF($A$14:$A$16, "*AF*",$B$14:F$16)</f>
        <v>0</v>
      </c>
      <c r="G17" s="93">
        <f>SUMIF($A$14:$A$16, "*AF*",$B$14:G$16)</f>
        <v>0</v>
      </c>
      <c r="H17" s="93">
        <f>SUMIF($A$14:$A$16, "*AF*",$B$14:H$16)</f>
        <v>0</v>
      </c>
      <c r="I17" s="93">
        <f>SUMIF($A$14:$A$16, "*AF*",$B$14:I$16)</f>
        <v>0</v>
      </c>
      <c r="J17" s="93">
        <f>SUMIF($A$14:$A$16, "*AF*",$B$14:J$16)</f>
        <v>0</v>
      </c>
      <c r="K17" s="93">
        <f>SUMIF($A$14:$A$16, "*AF*",$B$14:K$16)</f>
        <v>0</v>
      </c>
      <c r="L17" s="93">
        <f>SUMIF($A$14:$A$16, "*AF*",$B$14:L$16)</f>
        <v>0</v>
      </c>
      <c r="M17" s="93">
        <f>SUMIF($A$14:$A$16, "*AF*",$B$14:M$16)</f>
        <v>0</v>
      </c>
      <c r="N17" s="62">
        <f>SUM('Calculation Sheet 3'!$B17:$M17)</f>
        <v>0</v>
      </c>
      <c r="O17" s="2"/>
      <c r="P17" s="3"/>
      <c r="Q17" s="2"/>
    </row>
    <row r="18" spans="1:17" s="14" customFormat="1" ht="15.75" x14ac:dyDescent="0.25">
      <c r="A18" s="122" t="s">
        <v>108</v>
      </c>
      <c r="B18" s="254">
        <f>B17*Conversions!$B$4</f>
        <v>0</v>
      </c>
      <c r="C18" s="254">
        <f>C17*Conversions!$B$4</f>
        <v>0</v>
      </c>
      <c r="D18" s="254">
        <f>D17*Conversions!$B$4</f>
        <v>0</v>
      </c>
      <c r="E18" s="254">
        <f>E17*Conversions!$B$4</f>
        <v>0</v>
      </c>
      <c r="F18" s="254">
        <f>F17*Conversions!$B$4</f>
        <v>0</v>
      </c>
      <c r="G18" s="254">
        <f>G17*Conversions!$B$4</f>
        <v>0</v>
      </c>
      <c r="H18" s="254">
        <f>H17*Conversions!$B$4</f>
        <v>0</v>
      </c>
      <c r="I18" s="254">
        <f>I17*Conversions!$B$4</f>
        <v>0</v>
      </c>
      <c r="J18" s="254">
        <f>J17*Conversions!$B$4</f>
        <v>0</v>
      </c>
      <c r="K18" s="254">
        <f>K17*Conversions!$B$4</f>
        <v>0</v>
      </c>
      <c r="L18" s="254">
        <f>L17*Conversions!$B$4</f>
        <v>0</v>
      </c>
      <c r="M18" s="254">
        <f>M17*Conversions!$B$4</f>
        <v>0</v>
      </c>
      <c r="N18" s="255">
        <f>SUM('Calculation Sheet 3'!$B18:$M18)</f>
        <v>0</v>
      </c>
      <c r="O18" s="16"/>
      <c r="P18" s="20"/>
      <c r="Q18" s="16"/>
    </row>
    <row r="19" spans="1:17" s="14" customFormat="1" x14ac:dyDescent="0.25">
      <c r="O19" s="16"/>
      <c r="P19" s="20"/>
      <c r="Q19" s="16"/>
    </row>
    <row r="22" spans="1:17" x14ac:dyDescent="0.25">
      <c r="A22" s="63"/>
      <c r="B22" s="64"/>
      <c r="C22" s="64"/>
      <c r="D22" s="64"/>
      <c r="E22" s="65"/>
      <c r="F22" s="64"/>
      <c r="G22" s="64"/>
      <c r="H22" s="64"/>
      <c r="I22" s="64"/>
      <c r="J22" s="65"/>
      <c r="K22" s="64"/>
      <c r="L22" s="64"/>
      <c r="M22" s="64"/>
      <c r="N22" s="66"/>
    </row>
    <row r="23" spans="1:17" ht="18.75" x14ac:dyDescent="0.3">
      <c r="A23" s="22" t="s">
        <v>92</v>
      </c>
      <c r="B23" s="18"/>
      <c r="C23" s="18"/>
      <c r="D23" s="18"/>
      <c r="E23" s="18"/>
      <c r="F23" s="18"/>
      <c r="G23" s="18"/>
      <c r="H23" s="18"/>
      <c r="I23" s="18"/>
      <c r="J23" s="19"/>
      <c r="K23" s="19"/>
      <c r="L23" s="19"/>
      <c r="M23" s="19"/>
      <c r="N23" s="19"/>
      <c r="O23" s="2"/>
      <c r="P23" s="3"/>
      <c r="Q23" s="2"/>
    </row>
    <row r="24" spans="1:17" ht="15.75" thickBot="1" x14ac:dyDescent="0.3">
      <c r="A24" s="96" t="s">
        <v>84</v>
      </c>
      <c r="B24" s="97" t="s">
        <v>63</v>
      </c>
      <c r="C24" s="97" t="s">
        <v>64</v>
      </c>
      <c r="D24" s="97" t="s">
        <v>65</v>
      </c>
      <c r="E24" s="97" t="s">
        <v>66</v>
      </c>
      <c r="F24" s="97" t="s">
        <v>67</v>
      </c>
      <c r="G24" s="97" t="s">
        <v>68</v>
      </c>
      <c r="H24" s="97" t="s">
        <v>69</v>
      </c>
      <c r="I24" s="97" t="s">
        <v>70</v>
      </c>
      <c r="J24" s="97" t="s">
        <v>71</v>
      </c>
      <c r="K24" s="97" t="s">
        <v>72</v>
      </c>
      <c r="L24" s="97" t="s">
        <v>73</v>
      </c>
      <c r="M24" s="97" t="s">
        <v>74</v>
      </c>
      <c r="N24" s="98" t="s">
        <v>77</v>
      </c>
      <c r="O24" s="2"/>
      <c r="P24" s="3"/>
      <c r="Q24" s="2"/>
    </row>
    <row r="25" spans="1:17" ht="15.75" thickTop="1" x14ac:dyDescent="0.25">
      <c r="A25" s="99" t="s">
        <v>263</v>
      </c>
      <c r="B25" s="123">
        <f>IFERROR(IF(INDEX(Assumptions!$A$35:$BG$55,MATCH($E$4,Irrigation_Crop,0),MATCH($E$3,IrrigationCounty,0))=0,INDEX(Assumptions!$A$35:$BG$55,MATCH($E$4,Irrigation_Crop,0),COLUMN(Assumptions!$BG$34)),INDEX(Assumptions!$A$35:$BG$55,MATCH($E$4,Irrigation_Crop,0),MATCH($E$3,IrrigationCounty,0))),0)</f>
        <v>0</v>
      </c>
      <c r="C25" s="123">
        <f>IFERROR(IF(INDEX(Assumptions!$A$35:$BG$55,MATCH($E$4,Irrigation_Crop,0),MATCH($E$3,IrrigationCounty,0))=0,INDEX(Assumptions!$A$35:$BG$55,MATCH($E$4,Irrigation_Crop,0),COLUMN(Assumptions!$BG$34)),INDEX(Assumptions!$A$35:$BG$55,MATCH($E$4,Irrigation_Crop,0),MATCH($E$3,IrrigationCounty,0))),0)</f>
        <v>0</v>
      </c>
      <c r="D25" s="123">
        <f>IFERROR(IF(INDEX(Assumptions!$A$35:$BG$55,MATCH($E$4,Irrigation_Crop,0),MATCH($E$3,IrrigationCounty,0))=0,INDEX(Assumptions!$A$35:$BG$55,MATCH($E$4,Irrigation_Crop,0),COLUMN(Assumptions!$BG$34)),INDEX(Assumptions!$A$35:$BG$55,MATCH($E$4,Irrigation_Crop,0),MATCH($E$3,IrrigationCounty,0))),0)</f>
        <v>0</v>
      </c>
      <c r="E25" s="123">
        <f>IFERROR(IF(INDEX(Assumptions!$A$35:$BG$55,MATCH($E$4,Irrigation_Crop,0),MATCH($E$3,IrrigationCounty,0))=0,INDEX(Assumptions!$A$35:$BG$55,MATCH($E$4,Irrigation_Crop,0),COLUMN(Assumptions!$BG$34)),INDEX(Assumptions!$A$35:$BG$55,MATCH($E$4,Irrigation_Crop,0),MATCH($E$3,IrrigationCounty,0))),0)</f>
        <v>0</v>
      </c>
      <c r="F25" s="123">
        <f>IFERROR(IF(INDEX(Assumptions!$A$35:$BG$55,MATCH($E$4,Irrigation_Crop,0),MATCH($E$3,IrrigationCounty,0))=0,INDEX(Assumptions!$A$35:$BG$55,MATCH($E$4,Irrigation_Crop,0),COLUMN(Assumptions!$BG$34)),INDEX(Assumptions!$A$35:$BG$55,MATCH($E$4,Irrigation_Crop,0),MATCH($E$3,IrrigationCounty,0))),0)</f>
        <v>0</v>
      </c>
      <c r="G25" s="123">
        <f>IFERROR(IF(INDEX(Assumptions!$A$35:$BG$55,MATCH($E$4,Irrigation_Crop,0),MATCH($E$3,IrrigationCounty,0))=0,INDEX(Assumptions!$A$35:$BG$55,MATCH($E$4,Irrigation_Crop,0),COLUMN(Assumptions!$BG$34)),INDEX(Assumptions!$A$35:$BG$55,MATCH($E$4,Irrigation_Crop,0),MATCH($E$3,IrrigationCounty,0))),0)</f>
        <v>0</v>
      </c>
      <c r="H25" s="123">
        <f>IFERROR(IF(INDEX(Assumptions!$A$35:$BG$55,MATCH($E$4,Irrigation_Crop,0),MATCH($E$3,IrrigationCounty,0))=0,INDEX(Assumptions!$A$35:$BG$55,MATCH($E$4,Irrigation_Crop,0),COLUMN(Assumptions!$BG$34)),INDEX(Assumptions!$A$35:$BG$55,MATCH($E$4,Irrigation_Crop,0),MATCH($E$3,IrrigationCounty,0))),0)</f>
        <v>0</v>
      </c>
      <c r="I25" s="123">
        <f>IFERROR(IF(INDEX(Assumptions!$A$35:$BG$55,MATCH($E$4,Irrigation_Crop,0),MATCH($E$3,IrrigationCounty,0))=0,INDEX(Assumptions!$A$35:$BG$55,MATCH($E$4,Irrigation_Crop,0),COLUMN(Assumptions!$BG$34)),INDEX(Assumptions!$A$35:$BG$55,MATCH($E$4,Irrigation_Crop,0),MATCH($E$3,IrrigationCounty,0))),0)</f>
        <v>0</v>
      </c>
      <c r="J25" s="123">
        <f>IFERROR(IF(INDEX(Assumptions!$A$35:$BG$55,MATCH($E$4,Irrigation_Crop,0),MATCH($E$3,IrrigationCounty,0))=0,INDEX(Assumptions!$A$35:$BG$55,MATCH($E$4,Irrigation_Crop,0),COLUMN(Assumptions!$BG$34)),INDEX(Assumptions!$A$35:$BG$55,MATCH($E$4,Irrigation_Crop,0),MATCH($E$3,IrrigationCounty,0))),0)</f>
        <v>0</v>
      </c>
      <c r="K25" s="123">
        <f>IFERROR(IF(INDEX(Assumptions!$A$35:$BG$55,MATCH($E$4,Irrigation_Crop,0),MATCH($E$3,IrrigationCounty,0))=0,INDEX(Assumptions!$A$35:$BG$55,MATCH($E$4,Irrigation_Crop,0),COLUMN(Assumptions!$BG$34)),INDEX(Assumptions!$A$35:$BG$55,MATCH($E$4,Irrigation_Crop,0),MATCH($E$3,IrrigationCounty,0))),0)</f>
        <v>0</v>
      </c>
      <c r="L25" s="123">
        <f>IFERROR(IF(INDEX(Assumptions!$A$35:$BG$55,MATCH($E$4,Irrigation_Crop,0),MATCH($E$3,IrrigationCounty,0))=0,INDEX(Assumptions!$A$35:$BG$55,MATCH($E$4,Irrigation_Crop,0),COLUMN(Assumptions!$BG$34)),INDEX(Assumptions!$A$35:$BG$55,MATCH($E$4,Irrigation_Crop,0),MATCH($E$3,IrrigationCounty,0))),0)</f>
        <v>0</v>
      </c>
      <c r="M25" s="123">
        <f>IFERROR(IF(INDEX(Assumptions!$A$35:$BG$55,MATCH($E$4,Irrigation_Crop,0),MATCH($E$3,IrrigationCounty,0))=0,INDEX(Assumptions!$A$35:$BG$55,MATCH($E$4,Irrigation_Crop,0),COLUMN(Assumptions!$BG$34)),INDEX(Assumptions!$A$35:$BG$55,MATCH($E$4,Irrigation_Crop,0),MATCH($E$3,IrrigationCounty,0))),0)</f>
        <v>0</v>
      </c>
      <c r="N25" s="124"/>
      <c r="O25" s="2"/>
      <c r="P25" s="3"/>
      <c r="Q25" s="2"/>
    </row>
    <row r="26" spans="1:17" x14ac:dyDescent="0.25">
      <c r="A26" s="102" t="s">
        <v>85</v>
      </c>
      <c r="B26" s="78">
        <f>'Entry Sheet'!B39</f>
        <v>0</v>
      </c>
      <c r="C26" s="78">
        <f>'Entry Sheet'!C39</f>
        <v>0</v>
      </c>
      <c r="D26" s="78">
        <f>'Entry Sheet'!D39</f>
        <v>0</v>
      </c>
      <c r="E26" s="78">
        <f>'Entry Sheet'!E39</f>
        <v>0</v>
      </c>
      <c r="F26" s="78">
        <f>'Entry Sheet'!F39</f>
        <v>0</v>
      </c>
      <c r="G26" s="78">
        <f>'Entry Sheet'!G39</f>
        <v>0</v>
      </c>
      <c r="H26" s="78">
        <f>'Entry Sheet'!H39</f>
        <v>0</v>
      </c>
      <c r="I26" s="78">
        <f>'Entry Sheet'!I39</f>
        <v>0</v>
      </c>
      <c r="J26" s="78">
        <f>'Entry Sheet'!J39</f>
        <v>0</v>
      </c>
      <c r="K26" s="78">
        <f>'Entry Sheet'!K39</f>
        <v>0</v>
      </c>
      <c r="L26" s="78">
        <f>'Entry Sheet'!L39</f>
        <v>0</v>
      </c>
      <c r="M26" s="78">
        <f>'Entry Sheet'!M39</f>
        <v>0</v>
      </c>
      <c r="N26" s="103">
        <f>SUM('Calculation Sheet 3'!$B26:$M26)</f>
        <v>0</v>
      </c>
      <c r="O26" s="2"/>
      <c r="P26" s="3"/>
      <c r="Q26" s="2"/>
    </row>
    <row r="27" spans="1:17" ht="15.75" x14ac:dyDescent="0.25">
      <c r="A27" s="104" t="s">
        <v>264</v>
      </c>
      <c r="B27" s="105">
        <f>IFERROR(Irrigation_Area2*Days_Irrigated2*B$25/Conversions!$B$3*60,0)</f>
        <v>0</v>
      </c>
      <c r="C27" s="105">
        <f>IFERROR(Irrigation_Area2*Days_Irrigated2*C$25/Conversions!$B$3*60,0)</f>
        <v>0</v>
      </c>
      <c r="D27" s="105">
        <f>IFERROR(Irrigation_Area2*Days_Irrigated2*D$25/Conversions!$B$3*60,0)</f>
        <v>0</v>
      </c>
      <c r="E27" s="105">
        <f>IFERROR(Irrigation_Area2*Days_Irrigated2*E$25/Conversions!$B$3*60,0)</f>
        <v>0</v>
      </c>
      <c r="F27" s="105">
        <f>IFERROR(Irrigation_Area2*Days_Irrigated2*F$25/Conversions!$B$3*60,0)</f>
        <v>0</v>
      </c>
      <c r="G27" s="105">
        <f>IFERROR(Irrigation_Area2*Days_Irrigated2*G$25/Conversions!$B$3*60,0)</f>
        <v>0</v>
      </c>
      <c r="H27" s="105">
        <f>IFERROR(Irrigation_Area2*Days_Irrigated2*H$25/Conversions!$B$3*60,0)</f>
        <v>0</v>
      </c>
      <c r="I27" s="105">
        <f>IFERROR(Irrigation_Area2*Days_Irrigated2*I$25/Conversions!$B$3*60,0)</f>
        <v>0</v>
      </c>
      <c r="J27" s="105">
        <f>IFERROR(Irrigation_Area2*Days_Irrigated2*J$25/Conversions!$B$3*60,0)</f>
        <v>0</v>
      </c>
      <c r="K27" s="105">
        <f>IFERROR(Irrigation_Area2*Days_Irrigated2*K$25/Conversions!$B$3*60,0)</f>
        <v>0</v>
      </c>
      <c r="L27" s="105">
        <f>IFERROR(Irrigation_Area2*Days_Irrigated2*L$25/Conversions!$B$3*60,0)</f>
        <v>0</v>
      </c>
      <c r="M27" s="105">
        <f>IFERROR(Irrigation_Area2*Days_Irrigated2*M$25/Conversions!$B$3*60,0)</f>
        <v>0</v>
      </c>
      <c r="N27" s="106">
        <f>SUM('Calculation Sheet 3'!$B27:$M27)</f>
        <v>0</v>
      </c>
      <c r="O27" s="2"/>
      <c r="P27" s="3"/>
      <c r="Q27" s="2"/>
    </row>
    <row r="28" spans="1:17" ht="15.75" x14ac:dyDescent="0.25">
      <c r="A28" s="104" t="s">
        <v>266</v>
      </c>
      <c r="B28" s="243">
        <f>B27*Conversions!$B$4</f>
        <v>0</v>
      </c>
      <c r="C28" s="243">
        <f>C27*Conversions!$B$4</f>
        <v>0</v>
      </c>
      <c r="D28" s="243">
        <f>D27*Conversions!$B$4</f>
        <v>0</v>
      </c>
      <c r="E28" s="243">
        <f>E27*Conversions!$B$4</f>
        <v>0</v>
      </c>
      <c r="F28" s="243">
        <f>F27*Conversions!$B$4</f>
        <v>0</v>
      </c>
      <c r="G28" s="243">
        <f>G27*Conversions!$B$4</f>
        <v>0</v>
      </c>
      <c r="H28" s="243">
        <f>H27*Conversions!$B$4</f>
        <v>0</v>
      </c>
      <c r="I28" s="243">
        <f>I27*Conversions!$B$4</f>
        <v>0</v>
      </c>
      <c r="J28" s="243">
        <f>J27*Conversions!$B$4</f>
        <v>0</v>
      </c>
      <c r="K28" s="243">
        <f>K27*Conversions!$B$4</f>
        <v>0</v>
      </c>
      <c r="L28" s="243">
        <f>L27*Conversions!$B$4</f>
        <v>0</v>
      </c>
      <c r="M28" s="243">
        <f>M27*Conversions!$B$4</f>
        <v>0</v>
      </c>
      <c r="N28" s="243">
        <f>N27*Conversions!$B$4</f>
        <v>0</v>
      </c>
      <c r="O28" s="2"/>
      <c r="P28" s="3"/>
      <c r="Q28" s="2"/>
    </row>
    <row r="29" spans="1:17" x14ac:dyDescent="0.25">
      <c r="A29" s="43"/>
      <c r="B29" s="19"/>
    </row>
    <row r="30" spans="1:17" ht="18.75" x14ac:dyDescent="0.3">
      <c r="A30" s="21" t="s">
        <v>93</v>
      </c>
      <c r="B30" s="18"/>
      <c r="C30" s="18"/>
      <c r="D30" s="18"/>
      <c r="E30" s="18"/>
      <c r="F30" s="18"/>
      <c r="G30" s="18"/>
      <c r="H30" s="18"/>
      <c r="I30" s="18"/>
      <c r="J30" s="19"/>
      <c r="K30" s="18"/>
      <c r="L30" s="18"/>
      <c r="M30" s="18"/>
      <c r="N30" s="18"/>
    </row>
    <row r="31" spans="1:17" x14ac:dyDescent="0.25">
      <c r="A31" s="125" t="s">
        <v>84</v>
      </c>
      <c r="B31" s="126" t="s">
        <v>63</v>
      </c>
      <c r="C31" s="126" t="s">
        <v>64</v>
      </c>
      <c r="D31" s="126" t="s">
        <v>65</v>
      </c>
      <c r="E31" s="126" t="s">
        <v>66</v>
      </c>
      <c r="F31" s="126" t="s">
        <v>67</v>
      </c>
      <c r="G31" s="126" t="s">
        <v>68</v>
      </c>
      <c r="H31" s="126" t="s">
        <v>69</v>
      </c>
      <c r="I31" s="126" t="s">
        <v>70</v>
      </c>
      <c r="J31" s="126" t="s">
        <v>71</v>
      </c>
      <c r="K31" s="126" t="s">
        <v>72</v>
      </c>
      <c r="L31" s="126" t="s">
        <v>73</v>
      </c>
      <c r="M31" s="126" t="s">
        <v>74</v>
      </c>
      <c r="N31" s="130" t="s">
        <v>77</v>
      </c>
    </row>
    <row r="32" spans="1:17" x14ac:dyDescent="0.25">
      <c r="A32" s="109" t="s">
        <v>96</v>
      </c>
      <c r="B32" s="110">
        <f>IFERROR(INDEX(Assumptions!$A$26:$B$31, MATCH('Calculation Sheet 3'!$H$3,TypeStockC,0),2),0)</f>
        <v>0</v>
      </c>
      <c r="C32" s="110">
        <f>IFERROR(INDEX(Assumptions!$A$26:$B$31, MATCH('Calculation Sheet 3'!$H$3,TypeStockC,0),2),0)</f>
        <v>0</v>
      </c>
      <c r="D32" s="110">
        <f>IFERROR(INDEX(Assumptions!$A$26:$B$31, MATCH('Calculation Sheet 3'!$H$3,TypeStockC,0),2),0)</f>
        <v>0</v>
      </c>
      <c r="E32" s="110">
        <f>IFERROR(INDEX(Assumptions!$A$26:$B$31, MATCH('Calculation Sheet 3'!$H$3,TypeStockC,0),2),0)</f>
        <v>0</v>
      </c>
      <c r="F32" s="110">
        <f>IFERROR(INDEX(Assumptions!$A$26:$B$31, MATCH('Calculation Sheet 3'!$H$3,TypeStockC,0),2),0)</f>
        <v>0</v>
      </c>
      <c r="G32" s="110">
        <f>IFERROR(INDEX(Assumptions!$A$26:$B$31, MATCH('Calculation Sheet 3'!$H$3,TypeStockC,0),2),0)</f>
        <v>0</v>
      </c>
      <c r="H32" s="110">
        <f>IFERROR(INDEX(Assumptions!$A$26:$B$31, MATCH('Calculation Sheet 3'!$H$3,TypeStockC,0),2),0)</f>
        <v>0</v>
      </c>
      <c r="I32" s="110">
        <f>IFERROR(INDEX(Assumptions!$A$26:$B$31, MATCH('Calculation Sheet 3'!$H$3,TypeStockC,0),2),0)</f>
        <v>0</v>
      </c>
      <c r="J32" s="110">
        <f>IFERROR(INDEX(Assumptions!$A$26:$B$31, MATCH('Calculation Sheet 3'!$H$3,TypeStockC,0),2),0)</f>
        <v>0</v>
      </c>
      <c r="K32" s="110">
        <f>IFERROR(INDEX(Assumptions!$A$26:$B$31, MATCH('Calculation Sheet 3'!$H$3,TypeStockC,0),2),0)</f>
        <v>0</v>
      </c>
      <c r="L32" s="110">
        <f>IFERROR(INDEX(Assumptions!$A$26:$B$31, MATCH('Calculation Sheet 3'!$H$3,TypeStockC,0),2),0)</f>
        <v>0</v>
      </c>
      <c r="M32" s="110">
        <f>IFERROR(INDEX(Assumptions!$A$26:$B$31, MATCH('Calculation Sheet 3'!$H$3,TypeStockC,0),2),0)</f>
        <v>0</v>
      </c>
      <c r="N32" s="111"/>
    </row>
    <row r="33" spans="1:15" x14ac:dyDescent="0.25">
      <c r="A33" s="112" t="s">
        <v>86</v>
      </c>
      <c r="B33" s="78">
        <f>'Entry Sheet'!B47</f>
        <v>0</v>
      </c>
      <c r="C33" s="78">
        <f>'Entry Sheet'!C47</f>
        <v>0</v>
      </c>
      <c r="D33" s="78">
        <f>'Entry Sheet'!D47</f>
        <v>0</v>
      </c>
      <c r="E33" s="78">
        <f>'Entry Sheet'!E47</f>
        <v>0</v>
      </c>
      <c r="F33" s="78">
        <f>'Entry Sheet'!F47</f>
        <v>0</v>
      </c>
      <c r="G33" s="78">
        <f>'Entry Sheet'!G47</f>
        <v>0</v>
      </c>
      <c r="H33" s="78">
        <f>'Entry Sheet'!H47</f>
        <v>0</v>
      </c>
      <c r="I33" s="78">
        <f>'Entry Sheet'!I47</f>
        <v>0</v>
      </c>
      <c r="J33" s="78">
        <f>'Entry Sheet'!J47</f>
        <v>0</v>
      </c>
      <c r="K33" s="78">
        <f>'Entry Sheet'!K47</f>
        <v>0</v>
      </c>
      <c r="L33" s="78">
        <f>'Entry Sheet'!L47</f>
        <v>0</v>
      </c>
      <c r="M33" s="78">
        <f>'Entry Sheet'!M47</f>
        <v>0</v>
      </c>
      <c r="N33" s="113">
        <f>SUM('Calculation Sheet 3'!$B33:$M33)</f>
        <v>0</v>
      </c>
    </row>
    <row r="34" spans="1:15" ht="15.75" x14ac:dyDescent="0.25">
      <c r="A34" s="114" t="s">
        <v>267</v>
      </c>
      <c r="B34" s="115">
        <f>B$32*$H$4*Days_Stockwatering2/Conversions!$B$3</f>
        <v>0</v>
      </c>
      <c r="C34" s="115">
        <f>C$32*$H$4*Days_Stockwatering2/Conversions!$B$3</f>
        <v>0</v>
      </c>
      <c r="D34" s="115">
        <f>D$32*$H$4*Days_Stockwatering2/Conversions!$B$3</f>
        <v>0</v>
      </c>
      <c r="E34" s="115">
        <f>E$32*$H$4*Days_Stockwatering2/Conversions!$B$3</f>
        <v>0</v>
      </c>
      <c r="F34" s="115">
        <f>F$32*$H$4*Days_Stockwatering2/Conversions!$B$3</f>
        <v>0</v>
      </c>
      <c r="G34" s="115">
        <f>G$32*$H$4*Days_Stockwatering2/Conversions!$B$3</f>
        <v>0</v>
      </c>
      <c r="H34" s="115">
        <f>H$32*$H$4*Days_Stockwatering2/Conversions!$B$3</f>
        <v>0</v>
      </c>
      <c r="I34" s="115">
        <f>I$32*$H$4*Days_Stockwatering2/Conversions!$B$3</f>
        <v>0</v>
      </c>
      <c r="J34" s="115">
        <f>J$32*$H$4*Days_Stockwatering2/Conversions!$B$3</f>
        <v>0</v>
      </c>
      <c r="K34" s="115">
        <f>K$32*$H$4*Days_Stockwatering2/Conversions!$B$3</f>
        <v>0</v>
      </c>
      <c r="L34" s="115">
        <f>L$32*$H$4*Days_Stockwatering2/Conversions!$B$3</f>
        <v>0</v>
      </c>
      <c r="M34" s="115">
        <f>M$32*$H$4*Days_Stockwatering2/Conversions!$B$3</f>
        <v>0</v>
      </c>
      <c r="N34" s="115">
        <f>SUM('Calculation Sheet 3'!$B34:$M34)</f>
        <v>0</v>
      </c>
    </row>
    <row r="35" spans="1:15" ht="15.75" x14ac:dyDescent="0.25">
      <c r="A35" s="114" t="s">
        <v>269</v>
      </c>
      <c r="B35" s="71">
        <f>B34*Conversions!$B$4</f>
        <v>0</v>
      </c>
      <c r="C35" s="71">
        <f>C34*Conversions!$B$4</f>
        <v>0</v>
      </c>
      <c r="D35" s="71">
        <f>D34*Conversions!$B$4</f>
        <v>0</v>
      </c>
      <c r="E35" s="71">
        <f>E34*Conversions!$B$4</f>
        <v>0</v>
      </c>
      <c r="F35" s="71">
        <f>F34*Conversions!$B$4</f>
        <v>0</v>
      </c>
      <c r="G35" s="71">
        <f>G34*Conversions!$B$4</f>
        <v>0</v>
      </c>
      <c r="H35" s="71">
        <f>H34*Conversions!$B$4</f>
        <v>0</v>
      </c>
      <c r="I35" s="71">
        <f>I34*Conversions!$B$4</f>
        <v>0</v>
      </c>
      <c r="J35" s="71">
        <f>J34*Conversions!$B$4</f>
        <v>0</v>
      </c>
      <c r="K35" s="71">
        <f>K34*Conversions!$B$4</f>
        <v>0</v>
      </c>
      <c r="L35" s="71">
        <f>L34*Conversions!$B$4</f>
        <v>0</v>
      </c>
      <c r="M35" s="71">
        <f>M34*Conversions!$B$4</f>
        <v>0</v>
      </c>
      <c r="N35" s="71">
        <f>N34*Conversions!$B$4</f>
        <v>0</v>
      </c>
      <c r="O35" s="44"/>
    </row>
    <row r="36" spans="1:15" x14ac:dyDescent="0.25">
      <c r="E36"/>
      <c r="J36"/>
    </row>
    <row r="37" spans="1:15" x14ac:dyDescent="0.25">
      <c r="E37"/>
      <c r="J37"/>
    </row>
    <row r="38" spans="1:15" x14ac:dyDescent="0.25">
      <c r="E38"/>
      <c r="J38"/>
    </row>
    <row r="39" spans="1:15" ht="21" x14ac:dyDescent="0.35">
      <c r="A39" s="23" t="s">
        <v>99</v>
      </c>
      <c r="B39" s="18"/>
      <c r="C39" s="18"/>
      <c r="D39" s="18"/>
      <c r="E39" s="18"/>
      <c r="F39" s="18"/>
      <c r="G39" s="18"/>
      <c r="H39" s="18"/>
      <c r="I39" s="18"/>
      <c r="J39" s="19"/>
      <c r="K39" s="18"/>
      <c r="L39" s="18"/>
      <c r="M39" s="18"/>
      <c r="N39" s="18"/>
    </row>
    <row r="40" spans="1:15" x14ac:dyDescent="0.25">
      <c r="A40" s="127" t="s">
        <v>84</v>
      </c>
      <c r="B40" s="128" t="s">
        <v>63</v>
      </c>
      <c r="C40" s="128" t="s">
        <v>64</v>
      </c>
      <c r="D40" s="128" t="s">
        <v>65</v>
      </c>
      <c r="E40" s="128" t="s">
        <v>66</v>
      </c>
      <c r="F40" s="128" t="s">
        <v>67</v>
      </c>
      <c r="G40" s="128" t="s">
        <v>68</v>
      </c>
      <c r="H40" s="128" t="s">
        <v>69</v>
      </c>
      <c r="I40" s="128" t="s">
        <v>70</v>
      </c>
      <c r="J40" s="128" t="s">
        <v>71</v>
      </c>
      <c r="K40" s="128" t="s">
        <v>72</v>
      </c>
      <c r="L40" s="128" t="s">
        <v>73</v>
      </c>
      <c r="M40" s="128" t="s">
        <v>74</v>
      </c>
      <c r="N40" s="129" t="s">
        <v>77</v>
      </c>
    </row>
    <row r="41" spans="1:15" x14ac:dyDescent="0.25">
      <c r="A41" s="119" t="s">
        <v>100</v>
      </c>
      <c r="B41" s="304">
        <f t="shared" ref="B41:M41" si="0">SUMIFS(B$14:B$40, $A$14:$A$40,"*Total*",$A$14:$A$40, "*AF*")</f>
        <v>0</v>
      </c>
      <c r="C41" s="304">
        <f t="shared" si="0"/>
        <v>0</v>
      </c>
      <c r="D41" s="304">
        <f t="shared" si="0"/>
        <v>0</v>
      </c>
      <c r="E41" s="304">
        <f t="shared" si="0"/>
        <v>0</v>
      </c>
      <c r="F41" s="304">
        <f t="shared" si="0"/>
        <v>0</v>
      </c>
      <c r="G41" s="304">
        <f t="shared" si="0"/>
        <v>0</v>
      </c>
      <c r="H41" s="304">
        <f t="shared" si="0"/>
        <v>0</v>
      </c>
      <c r="I41" s="304">
        <f t="shared" si="0"/>
        <v>0</v>
      </c>
      <c r="J41" s="304">
        <f t="shared" si="0"/>
        <v>0</v>
      </c>
      <c r="K41" s="304">
        <f t="shared" si="0"/>
        <v>0</v>
      </c>
      <c r="L41" s="304">
        <f t="shared" si="0"/>
        <v>0</v>
      </c>
      <c r="M41" s="304">
        <f t="shared" si="0"/>
        <v>0</v>
      </c>
      <c r="N41" s="305">
        <f>SUM('Calculation Sheet 3'!$B41:$M41)</f>
        <v>0</v>
      </c>
    </row>
    <row r="42" spans="1:15" ht="15.75" thickBot="1" x14ac:dyDescent="0.3">
      <c r="A42" s="120" t="s">
        <v>101</v>
      </c>
      <c r="B42" s="306">
        <f>B41*Conversions!$B$4</f>
        <v>0</v>
      </c>
      <c r="C42" s="306">
        <f>C41*Conversions!$B$4</f>
        <v>0</v>
      </c>
      <c r="D42" s="306">
        <f>D41*Conversions!$B$4</f>
        <v>0</v>
      </c>
      <c r="E42" s="306">
        <f>E41*Conversions!$B$4</f>
        <v>0</v>
      </c>
      <c r="F42" s="306">
        <f>F41*Conversions!$B$4</f>
        <v>0</v>
      </c>
      <c r="G42" s="306">
        <f>G41*Conversions!$B$4</f>
        <v>0</v>
      </c>
      <c r="H42" s="306">
        <f>H41*Conversions!$B$4</f>
        <v>0</v>
      </c>
      <c r="I42" s="306">
        <f>I41*Conversions!$B$4</f>
        <v>0</v>
      </c>
      <c r="J42" s="306">
        <f>J41*Conversions!$B$4</f>
        <v>0</v>
      </c>
      <c r="K42" s="306">
        <f>K41*Conversions!$B$4</f>
        <v>0</v>
      </c>
      <c r="L42" s="306">
        <f>L41*Conversions!$B$4</f>
        <v>0</v>
      </c>
      <c r="M42" s="306">
        <f>M41*Conversions!$B$4</f>
        <v>0</v>
      </c>
      <c r="N42" s="307">
        <f>N41*Conversions!$B$4</f>
        <v>0</v>
      </c>
    </row>
    <row r="43" spans="1:15" x14ac:dyDescent="0.25">
      <c r="A43" s="18"/>
      <c r="B43" s="18"/>
      <c r="C43" s="18"/>
      <c r="D43" s="18"/>
      <c r="E43" s="18"/>
      <c r="F43" s="18"/>
      <c r="G43" s="18"/>
      <c r="H43" s="18"/>
      <c r="I43" s="18"/>
      <c r="J43" s="19"/>
      <c r="K43" s="18"/>
      <c r="L43" s="18"/>
      <c r="M43" s="18"/>
      <c r="N43" s="18"/>
    </row>
    <row r="44" spans="1:15" x14ac:dyDescent="0.25">
      <c r="E44"/>
    </row>
    <row r="45" spans="1:15" x14ac:dyDescent="0.25">
      <c r="E45"/>
    </row>
    <row r="46" spans="1:15" x14ac:dyDescent="0.25">
      <c r="E46"/>
    </row>
    <row r="47" spans="1:15" x14ac:dyDescent="0.25">
      <c r="E47"/>
    </row>
    <row r="48" spans="1:1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sheetData>
  <sheetProtection formatColumns="0" formatRows="0" insertColumns="0" insertRows="0" insertHyperlinks="0" deleteColumns="0" deleteRows="0" sort="0" autoFilter="0" pivotTables="0"/>
  <customSheetViews>
    <customSheetView guid="{A3E8C8DD-8C60-4C83-AE95-312CF58B6ABA}" topLeftCell="A13">
      <selection activeCell="N26" sqref="N26"/>
      <pageMargins left="0.7" right="0.7" top="0.75" bottom="0.75" header="0.3" footer="0.3"/>
      <pageSetup orientation="portrait" r:id="rId1"/>
    </customSheetView>
  </customSheetViews>
  <mergeCells count="3">
    <mergeCell ref="A2:B2"/>
    <mergeCell ref="D2:E2"/>
    <mergeCell ref="G2:H2"/>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207</vt:i4>
      </vt:variant>
    </vt:vector>
  </HeadingPairs>
  <TitlesOfParts>
    <vt:vector size="218" baseType="lpstr">
      <vt:lpstr>Disclaimer_Read_Me_First</vt:lpstr>
      <vt:lpstr>Entry Sheet</vt:lpstr>
      <vt:lpstr>Hydrologic Regions Map</vt:lpstr>
      <vt:lpstr>Assumptions</vt:lpstr>
      <vt:lpstr>Conversions</vt:lpstr>
      <vt:lpstr>Abbreviation Guide</vt:lpstr>
      <vt:lpstr>Calculation Sheet 1</vt:lpstr>
      <vt:lpstr>Calculation Sheet 2</vt:lpstr>
      <vt:lpstr>Calculation Sheet 3</vt:lpstr>
      <vt:lpstr>Calculation Sheet 4</vt:lpstr>
      <vt:lpstr>Calculation Sheet 5</vt:lpstr>
      <vt:lpstr>Alpine</vt:lpstr>
      <vt:lpstr>Amador</vt:lpstr>
      <vt:lpstr>Butte</vt:lpstr>
      <vt:lpstr>Calaveras</vt:lpstr>
      <vt:lpstr>Colusa</vt:lpstr>
      <vt:lpstr>Contra_Costa</vt:lpstr>
      <vt:lpstr>'Calculation Sheet 2'!Days_Irrigated1</vt:lpstr>
      <vt:lpstr>'Calculation Sheet 3'!Days_Irrigated1</vt:lpstr>
      <vt:lpstr>'Calculation Sheet 4'!Days_Irrigated1</vt:lpstr>
      <vt:lpstr>'Calculation Sheet 5'!Days_Irrigated1</vt:lpstr>
      <vt:lpstr>Days_Irrigated1</vt:lpstr>
      <vt:lpstr>'Calculation Sheet 2'!Days_Irrigated2</vt:lpstr>
      <vt:lpstr>'Calculation Sheet 3'!Days_Irrigated2</vt:lpstr>
      <vt:lpstr>'Calculation Sheet 4'!Days_Irrigated2</vt:lpstr>
      <vt:lpstr>'Calculation Sheet 5'!Days_Irrigated2</vt:lpstr>
      <vt:lpstr>Days_Irrigated2</vt:lpstr>
      <vt:lpstr>'Calculation Sheet 2'!Days_Stockwatering2</vt:lpstr>
      <vt:lpstr>'Calculation Sheet 3'!Days_Stockwatering2</vt:lpstr>
      <vt:lpstr>'Calculation Sheet 4'!Days_Stockwatering2</vt:lpstr>
      <vt:lpstr>'Calculation Sheet 5'!Days_Stockwatering2</vt:lpstr>
      <vt:lpstr>Days_Stockwatering2</vt:lpstr>
      <vt:lpstr>DaysDomestic</vt:lpstr>
      <vt:lpstr>'Calculation Sheet 2'!DaysStockwatering1</vt:lpstr>
      <vt:lpstr>'Calculation Sheet 3'!DaysStockwatering1</vt:lpstr>
      <vt:lpstr>'Calculation Sheet 4'!DaysStockwatering1</vt:lpstr>
      <vt:lpstr>'Calculation Sheet 5'!DaysStockwatering1</vt:lpstr>
      <vt:lpstr>DaysStockwatering1</vt:lpstr>
      <vt:lpstr>Del_Norte</vt:lpstr>
      <vt:lpstr>'Calculation Sheet 2'!Domestic_Stock</vt:lpstr>
      <vt:lpstr>'Calculation Sheet 3'!Domestic_Stock</vt:lpstr>
      <vt:lpstr>'Calculation Sheet 4'!Domestic_Stock</vt:lpstr>
      <vt:lpstr>'Calculation Sheet 5'!Domestic_Stock</vt:lpstr>
      <vt:lpstr>Domestic_Stock</vt:lpstr>
      <vt:lpstr>'Calculation Sheet 2'!DomesticDaily</vt:lpstr>
      <vt:lpstr>'Calculation Sheet 3'!DomesticDaily</vt:lpstr>
      <vt:lpstr>'Calculation Sheet 4'!DomesticDaily</vt:lpstr>
      <vt:lpstr>'Calculation Sheet 5'!DomesticDaily</vt:lpstr>
      <vt:lpstr>DomesticDaily</vt:lpstr>
      <vt:lpstr>El_Dorado</vt:lpstr>
      <vt:lpstr>'Calculation Sheet 2'!EntryStock</vt:lpstr>
      <vt:lpstr>'Calculation Sheet 3'!EntryStock</vt:lpstr>
      <vt:lpstr>'Calculation Sheet 4'!EntryStock</vt:lpstr>
      <vt:lpstr>'Calculation Sheet 5'!EntryStock</vt:lpstr>
      <vt:lpstr>EntryStock</vt:lpstr>
      <vt:lpstr>Fresno</vt:lpstr>
      <vt:lpstr>GardenRate</vt:lpstr>
      <vt:lpstr>Glenn</vt:lpstr>
      <vt:lpstr>Humboldt</vt:lpstr>
      <vt:lpstr>'Calculation Sheet 2'!Hydrologic_Region</vt:lpstr>
      <vt:lpstr>'Calculation Sheet 3'!Hydrologic_Region</vt:lpstr>
      <vt:lpstr>'Calculation Sheet 4'!Hydrologic_Region</vt:lpstr>
      <vt:lpstr>'Calculation Sheet 5'!Hydrologic_Region</vt:lpstr>
      <vt:lpstr>Hydrologic_Region</vt:lpstr>
      <vt:lpstr>'Calculation Sheet 2'!HydrologicRegion_Entry</vt:lpstr>
      <vt:lpstr>'Calculation Sheet 3'!HydrologicRegion_Entry</vt:lpstr>
      <vt:lpstr>'Calculation Sheet 4'!HydrologicRegion_Entry</vt:lpstr>
      <vt:lpstr>'Calculation Sheet 5'!HydrologicRegion_Entry</vt:lpstr>
      <vt:lpstr>HydrologicRegion_Entry</vt:lpstr>
      <vt:lpstr>Imperial</vt:lpstr>
      <vt:lpstr>Inyo</vt:lpstr>
      <vt:lpstr>'Calculation Sheet 2'!Irrigation_Area1</vt:lpstr>
      <vt:lpstr>'Calculation Sheet 3'!Irrigation_Area1</vt:lpstr>
      <vt:lpstr>'Calculation Sheet 4'!Irrigation_Area1</vt:lpstr>
      <vt:lpstr>'Calculation Sheet 5'!Irrigation_Area1</vt:lpstr>
      <vt:lpstr>Irrigation_Area1</vt:lpstr>
      <vt:lpstr>'Calculation Sheet 2'!Irrigation_Area2</vt:lpstr>
      <vt:lpstr>'Calculation Sheet 3'!Irrigation_Area2</vt:lpstr>
      <vt:lpstr>'Calculation Sheet 4'!Irrigation_Area2</vt:lpstr>
      <vt:lpstr>'Calculation Sheet 5'!Irrigation_Area2</vt:lpstr>
      <vt:lpstr>Irrigation_Area2</vt:lpstr>
      <vt:lpstr>Irrigation_Crop</vt:lpstr>
      <vt:lpstr>IrrigationAverage</vt:lpstr>
      <vt:lpstr>IrrigationCounty</vt:lpstr>
      <vt:lpstr>'Calculation Sheet 2'!IrrigationTime1</vt:lpstr>
      <vt:lpstr>'Calculation Sheet 3'!IrrigationTime1</vt:lpstr>
      <vt:lpstr>'Calculation Sheet 4'!IrrigationTime1</vt:lpstr>
      <vt:lpstr>'Calculation Sheet 5'!IrrigationTime1</vt:lpstr>
      <vt:lpstr>IrrigationTime1</vt:lpstr>
      <vt:lpstr>'Calculation Sheet 2'!IrrigationTime2</vt:lpstr>
      <vt:lpstr>'Calculation Sheet 3'!IrrigationTime2</vt:lpstr>
      <vt:lpstr>'Calculation Sheet 4'!IrrigationTime2</vt:lpstr>
      <vt:lpstr>'Calculation Sheet 5'!IrrigationTime2</vt:lpstr>
      <vt:lpstr>IrrigationTime2</vt:lpstr>
      <vt:lpstr>Kern</vt:lpstr>
      <vt:lpstr>Kings</vt:lpstr>
      <vt:lpstr>Lake</vt:lpstr>
      <vt:lpstr>Lassen</vt:lpstr>
      <vt:lpstr>'Calculation Sheet 2'!Lawn_Garden</vt:lpstr>
      <vt:lpstr>'Calculation Sheet 3'!Lawn_Garden</vt:lpstr>
      <vt:lpstr>'Calculation Sheet 4'!Lawn_Garden</vt:lpstr>
      <vt:lpstr>'Calculation Sheet 5'!Lawn_Garden</vt:lpstr>
      <vt:lpstr>Lawn_Garden</vt:lpstr>
      <vt:lpstr>Los_Angeles</vt:lpstr>
      <vt:lpstr>Madera</vt:lpstr>
      <vt:lpstr>Marin</vt:lpstr>
      <vt:lpstr>Mariposa</vt:lpstr>
      <vt:lpstr>Mendocino</vt:lpstr>
      <vt:lpstr>Merced</vt:lpstr>
      <vt:lpstr>Modoc</vt:lpstr>
      <vt:lpstr>Mono</vt:lpstr>
      <vt:lpstr>Monterey</vt:lpstr>
      <vt:lpstr>Napa</vt:lpstr>
      <vt:lpstr>Nevada</vt:lpstr>
      <vt:lpstr>NumComStock1</vt:lpstr>
      <vt:lpstr>NumComStock2</vt:lpstr>
      <vt:lpstr>NumComStock3</vt:lpstr>
      <vt:lpstr>NumComStock4</vt:lpstr>
      <vt:lpstr>NumComStock5</vt:lpstr>
      <vt:lpstr>NumCrop1</vt:lpstr>
      <vt:lpstr>NumCrop2</vt:lpstr>
      <vt:lpstr>NumCrop3</vt:lpstr>
      <vt:lpstr>NumCrop4</vt:lpstr>
      <vt:lpstr>NumCrop5</vt:lpstr>
      <vt:lpstr>NumStock1</vt:lpstr>
      <vt:lpstr>NumStock2</vt:lpstr>
      <vt:lpstr>NumStock3</vt:lpstr>
      <vt:lpstr>NumStock4</vt:lpstr>
      <vt:lpstr>NumStock5</vt:lpstr>
      <vt:lpstr>Orange</vt:lpstr>
      <vt:lpstr>Persons</vt:lpstr>
      <vt:lpstr>Placer</vt:lpstr>
      <vt:lpstr>Plumas</vt:lpstr>
      <vt:lpstr>'Calculation Sheet 2'!PlumbingType</vt:lpstr>
      <vt:lpstr>'Calculation Sheet 3'!PlumbingType</vt:lpstr>
      <vt:lpstr>'Calculation Sheet 4'!PlumbingType</vt:lpstr>
      <vt:lpstr>'Calculation Sheet 5'!PlumbingType</vt:lpstr>
      <vt:lpstr>PlumbingType</vt:lpstr>
      <vt:lpstr>Residential</vt:lpstr>
      <vt:lpstr>Riverside</vt:lpstr>
      <vt:lpstr>Sacramento</vt:lpstr>
      <vt:lpstr>San_Benito</vt:lpstr>
      <vt:lpstr>San_Bernardino</vt:lpstr>
      <vt:lpstr>San_Diego</vt:lpstr>
      <vt:lpstr>San_Joaquin</vt:lpstr>
      <vt:lpstr>San_Luis_Obispo</vt:lpstr>
      <vt:lpstr>San_Mateo</vt:lpstr>
      <vt:lpstr>Santa_Barbara</vt:lpstr>
      <vt:lpstr>Santa_Clara</vt:lpstr>
      <vt:lpstr>Santa_Cruz</vt:lpstr>
      <vt:lpstr>Shasta</vt:lpstr>
      <vt:lpstr>Sierra</vt:lpstr>
      <vt:lpstr>Siskiyou</vt:lpstr>
      <vt:lpstr>Solano</vt:lpstr>
      <vt:lpstr>Sonoma</vt:lpstr>
      <vt:lpstr>Stanislaus</vt:lpstr>
      <vt:lpstr>'Calculation Sheet 2'!Stock</vt:lpstr>
      <vt:lpstr>'Calculation Sheet 3'!Stock</vt:lpstr>
      <vt:lpstr>'Calculation Sheet 4'!Stock</vt:lpstr>
      <vt:lpstr>'Calculation Sheet 5'!Stock</vt:lpstr>
      <vt:lpstr>Stock</vt:lpstr>
      <vt:lpstr>StockType</vt:lpstr>
      <vt:lpstr>'Calculation Sheet 2'!SumDomestic</vt:lpstr>
      <vt:lpstr>'Calculation Sheet 3'!SumDomestic</vt:lpstr>
      <vt:lpstr>'Calculation Sheet 4'!SumDomestic</vt:lpstr>
      <vt:lpstr>'Calculation Sheet 5'!SumDomestic</vt:lpstr>
      <vt:lpstr>SumDomestic</vt:lpstr>
      <vt:lpstr>'Calculation Sheet 2'!SumDomesticStockwatering</vt:lpstr>
      <vt:lpstr>'Calculation Sheet 3'!SumDomesticStockwatering</vt:lpstr>
      <vt:lpstr>'Calculation Sheet 4'!SumDomesticStockwatering</vt:lpstr>
      <vt:lpstr>'Calculation Sheet 5'!SumDomesticStockwatering</vt:lpstr>
      <vt:lpstr>SumDomesticStockwatering</vt:lpstr>
      <vt:lpstr>'Calculation Sheet 2'!SumIrrigation</vt:lpstr>
      <vt:lpstr>'Calculation Sheet 3'!SumIrrigation</vt:lpstr>
      <vt:lpstr>'Calculation Sheet 4'!SumIrrigation</vt:lpstr>
      <vt:lpstr>'Calculation Sheet 5'!SumIrrigation</vt:lpstr>
      <vt:lpstr>SumIrrigation</vt:lpstr>
      <vt:lpstr>SumIrrigationDomestic</vt:lpstr>
      <vt:lpstr>SumResidential</vt:lpstr>
      <vt:lpstr>'Calculation Sheet 2'!SumStockwatering</vt:lpstr>
      <vt:lpstr>'Calculation Sheet 3'!SumStockwatering</vt:lpstr>
      <vt:lpstr>'Calculation Sheet 4'!SumStockwatering</vt:lpstr>
      <vt:lpstr>'Calculation Sheet 5'!SumStockwatering</vt:lpstr>
      <vt:lpstr>SumStockwatering</vt:lpstr>
      <vt:lpstr>Sutter</vt:lpstr>
      <vt:lpstr>Tehama</vt:lpstr>
      <vt:lpstr>Trinity</vt:lpstr>
      <vt:lpstr>Tulare</vt:lpstr>
      <vt:lpstr>Tuolumne</vt:lpstr>
      <vt:lpstr>TypeComStock1</vt:lpstr>
      <vt:lpstr>TypeComStock2</vt:lpstr>
      <vt:lpstr>TypeComStock3</vt:lpstr>
      <vt:lpstr>TypeComStock4</vt:lpstr>
      <vt:lpstr>TypeComStock5</vt:lpstr>
      <vt:lpstr>TypeCrop1</vt:lpstr>
      <vt:lpstr>TypeCrop2</vt:lpstr>
      <vt:lpstr>TypeCrop3</vt:lpstr>
      <vt:lpstr>TypeCrop4</vt:lpstr>
      <vt:lpstr>TypeCrop5</vt:lpstr>
      <vt:lpstr>TypeIrrigation</vt:lpstr>
      <vt:lpstr>TypeStock1</vt:lpstr>
      <vt:lpstr>TypeStock2</vt:lpstr>
      <vt:lpstr>TypeStock3</vt:lpstr>
      <vt:lpstr>TypeStock4</vt:lpstr>
      <vt:lpstr>TypeStock5</vt:lpstr>
      <vt:lpstr>'Calculation Sheet 2'!TypeStockC</vt:lpstr>
      <vt:lpstr>'Calculation Sheet 3'!TypeStockC</vt:lpstr>
      <vt:lpstr>'Calculation Sheet 4'!TypeStockC</vt:lpstr>
      <vt:lpstr>'Calculation Sheet 5'!TypeStockC</vt:lpstr>
      <vt:lpstr>TypeStockC</vt:lpstr>
      <vt:lpstr>'Calculation Sheet 2'!TypeStockD</vt:lpstr>
      <vt:lpstr>'Calculation Sheet 3'!TypeStockD</vt:lpstr>
      <vt:lpstr>'Calculation Sheet 4'!TypeStockD</vt:lpstr>
      <vt:lpstr>'Calculation Sheet 5'!TypeStockD</vt:lpstr>
      <vt:lpstr>TypeStockD</vt:lpstr>
      <vt:lpstr>Ventura</vt:lpstr>
      <vt:lpstr>Yolo</vt:lpstr>
      <vt:lpstr>Yuba</vt:lpstr>
    </vt:vector>
  </TitlesOfParts>
  <Company>SWRCB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Alemi, Payman@Waterboards</dc:creator>
  <cp:lastModifiedBy>Alemi, Payman@Waterboards</cp:lastModifiedBy>
  <dcterms:created xsi:type="dcterms:W3CDTF">2016-10-06T16:01:27Z</dcterms:created>
  <dcterms:modified xsi:type="dcterms:W3CDTF">2017-03-28T23:21:18Z</dcterms:modified>
</cp:coreProperties>
</file>