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390" windowHeight="8835" tabRatio="871" firstSheet="1" activeTab="4"/>
  </bookViews>
  <sheets>
    <sheet name="Criteria" sheetId="1" r:id="rId1"/>
    <sheet name="input for RPA" sheetId="2" r:id="rId2"/>
    <sheet name="RB2_RPA" sheetId="3" r:id="rId3"/>
    <sheet name="final limit" sheetId="4" r:id="rId4"/>
    <sheet name="Hg Mass Limit" sheetId="5" r:id="rId5"/>
    <sheet name="Cu Interim" sheetId="6" r:id="rId6"/>
    <sheet name="TI Effluent_Metals" sheetId="7" r:id="rId7"/>
    <sheet name="TI Effluent_Organics" sheetId="8" r:id="rId8"/>
    <sheet name="TI Pest. Data" sheetId="9" r:id="rId9"/>
    <sheet name="EPA 625 Organics" sheetId="10" r:id="rId10"/>
    <sheet name="TI PAHs" sheetId="11" r:id="rId11"/>
    <sheet name="TI-Dioxin" sheetId="12" r:id="rId12"/>
    <sheet name="YB RMP Metals" sheetId="13" r:id="rId13"/>
    <sheet name="YB RMP PAHs_Total" sheetId="14" r:id="rId14"/>
    <sheet name="YB RMP Pesticide_Total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>'[3]DGEF0696'!#REF!</definedName>
    <definedName name="\b">'[4]DIG1095'!#REF!</definedName>
    <definedName name="\c">'[3]DGEF0696'!#REF!</definedName>
    <definedName name="\d">'[3]DGEF0696'!#REF!</definedName>
    <definedName name="\e">'[3]DGEF0696'!#REF!</definedName>
    <definedName name="\f">'[2]Metals'!#REF!</definedName>
    <definedName name="\g">#REF!</definedName>
    <definedName name="\i">'[3]DGEF0696'!#REF!</definedName>
    <definedName name="\p">#REF!</definedName>
    <definedName name="\s">#N/A</definedName>
    <definedName name="\w">'[3]DGEF0696'!#REF!</definedName>
    <definedName name="\y">'[5]BACT1295'!$A$43</definedName>
    <definedName name="\z">#REF!</definedName>
    <definedName name="AAMACRO">'[3]DGEF0696'!#REF!</definedName>
    <definedName name="ABMACRO">'[3]DGEF0696'!#REF!</definedName>
    <definedName name="BIOCALC">#REF!</definedName>
    <definedName name="COLIFORM">'[5]BACT1295'!$J$9</definedName>
    <definedName name="DAY">'[3]DGEF0696'!#REF!</definedName>
    <definedName name="header">#REF!</definedName>
    <definedName name="Print_Area_MI">#REF!</definedName>
    <definedName name="_xlnm.Print_Titles" localSheetId="0">'Criteria'!$4:$7</definedName>
    <definedName name="_xlnm.Print_Titles" localSheetId="2">'RB2_RPA'!$1:$3</definedName>
    <definedName name="_xlnm.Print_Titles" localSheetId="10">'TI PAHs'!$1:$1</definedName>
    <definedName name="_xlnm.Print_Titles" localSheetId="8">'TI Pest. Data'!$1:$1</definedName>
    <definedName name="_xlnm.Print_Titles" localSheetId="11">'TI-Dioxin'!$1:$3</definedName>
    <definedName name="_xlnm.Print_Titles" localSheetId="13">'YB RMP PAHs_Total'!$C:$C</definedName>
    <definedName name="_xlnm.Print_Titles" localSheetId="14">'YB RMP Pesticide_Total'!$C:$C</definedName>
    <definedName name="TIME">'[5]BACT1295'!$B$9</definedName>
  </definedNames>
  <calcPr fullCalcOnLoad="1"/>
</workbook>
</file>

<file path=xl/comments1.xml><?xml version="1.0" encoding="utf-8"?>
<comments xmlns="http://schemas.openxmlformats.org/spreadsheetml/2006/main">
  <authors>
    <author>Dr. Indra N. Mitra</author>
    <author>laducan</author>
  </authors>
  <commentList>
    <comment ref="B1" authorId="0">
      <text>
        <r>
          <rPr>
            <b/>
            <sz val="8"/>
            <rFont val="Tahoma"/>
            <family val="0"/>
          </rPr>
          <t>RB2: BP criteria selected for As, Cd, Cr, Pb, Hg, Ni, Se, Ag, Zn, and CN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0"/>
          </rPr>
          <t>select BP criteria for RB2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>select BP criteria for RB2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0"/>
          </rPr>
          <t>select BP criteria for RB2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0"/>
          </rPr>
          <t>select BP criteria for RB2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0"/>
          </rPr>
          <t>select BP criteria for RB2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0"/>
          </rPr>
          <t>select BP criteria for RB2</t>
        </r>
        <r>
          <rPr>
            <sz val="8"/>
            <rFont val="Tahoma"/>
            <family val="0"/>
          </rPr>
          <t xml:space="preserve">
</t>
        </r>
      </text>
    </comment>
    <comment ref="B19" authorId="0">
      <text>
        <r>
          <rPr>
            <b/>
            <sz val="8"/>
            <rFont val="Tahoma"/>
            <family val="0"/>
          </rPr>
          <t>select BP criteria for RB2</t>
        </r>
        <r>
          <rPr>
            <sz val="8"/>
            <rFont val="Tahoma"/>
            <family val="0"/>
          </rPr>
          <t xml:space="preserve">
</t>
        </r>
      </text>
    </comment>
    <comment ref="B21" authorId="0">
      <text>
        <r>
          <rPr>
            <b/>
            <sz val="8"/>
            <rFont val="Tahoma"/>
            <family val="0"/>
          </rPr>
          <t>select BP criteria for RB2</t>
        </r>
        <r>
          <rPr>
            <sz val="8"/>
            <rFont val="Tahoma"/>
            <family val="0"/>
          </rPr>
          <t xml:space="preserve">
</t>
        </r>
      </text>
    </comment>
    <comment ref="F130" authorId="1">
      <text>
        <r>
          <rPr>
            <sz val="8"/>
            <rFont val="Tahoma"/>
            <family val="0"/>
          </rPr>
          <t xml:space="preserve">It is an EPA revised criteria (sw). For details, see email from RB2 (LR).
</t>
        </r>
      </text>
    </comment>
    <comment ref="J18" authorId="1">
      <text>
        <r>
          <rPr>
            <sz val="8"/>
            <rFont val="Tahoma"/>
            <family val="2"/>
          </rPr>
          <t>Refer to CTR, footnotes p and q, for explanation.  NTR values apply to  both freshwater and saltwater values.</t>
        </r>
      </text>
    </comment>
    <comment ref="K18" authorId="1">
      <text>
        <r>
          <rPr>
            <sz val="8"/>
            <rFont val="Tahoma"/>
            <family val="0"/>
          </rPr>
          <t xml:space="preserve">Refer to CTR, footnotes p and q, for explanation.  NTR values apply to both freshwater and saltwater values.
</t>
        </r>
      </text>
    </comment>
    <comment ref="J11" authorId="1">
      <text>
        <r>
          <rPr>
            <sz val="8"/>
            <rFont val="Tahoma"/>
            <family val="0"/>
          </rPr>
          <t xml:space="preserve">
These reflect the values in the CTR, not the revised Cd criteria published in April 2000.</t>
        </r>
      </text>
    </comment>
    <comment ref="N5" authorId="0">
      <text>
        <r>
          <rPr>
            <b/>
            <sz val="8"/>
            <rFont val="Tahoma"/>
            <family val="0"/>
          </rPr>
          <t xml:space="preserve">Table 2 of paragraph b(2) - page 31717 of CTR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Dr. Indra N. Mitra</author>
    <author>laducan</author>
  </authors>
  <commentList>
    <comment ref="D8" authorId="0">
      <text>
        <r>
          <rPr>
            <b/>
            <sz val="8"/>
            <rFont val="Tahoma"/>
            <family val="0"/>
          </rPr>
          <t>Enter data if it is an "Y" in the 1st column to the left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0"/>
          </rPr>
          <t>Indra:</t>
        </r>
        <r>
          <rPr>
            <sz val="8"/>
            <rFont val="Tahoma"/>
            <family val="0"/>
          </rPr>
          <t xml:space="preserve">
Enter data only if there is an 'Y' in 1st column to the left</t>
        </r>
      </text>
    </comment>
    <comment ref="F8" authorId="0">
      <text>
        <r>
          <rPr>
            <b/>
            <sz val="8"/>
            <rFont val="Tahoma"/>
            <family val="0"/>
          </rPr>
          <t>Indra:</t>
        </r>
        <r>
          <rPr>
            <sz val="8"/>
            <rFont val="Tahoma"/>
            <family val="0"/>
          </rPr>
          <t xml:space="preserve">
Enter data only if there is 'N' in 2nd column to the left and 'Y' in 3rd column to the left</t>
        </r>
      </text>
    </comment>
    <comment ref="J8" authorId="0">
      <text>
        <r>
          <rPr>
            <b/>
            <sz val="8"/>
            <rFont val="Tahoma"/>
            <family val="0"/>
          </rPr>
          <t>Enter data if it is an "Y" in the 1st column to the left</t>
        </r>
        <r>
          <rPr>
            <sz val="8"/>
            <rFont val="Tahoma"/>
            <family val="0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0"/>
          </rPr>
          <t>Indra:</t>
        </r>
        <r>
          <rPr>
            <sz val="8"/>
            <rFont val="Tahoma"/>
            <family val="0"/>
          </rPr>
          <t xml:space="preserve">
Enter data only if there is an 'Y' in 1st column to the left</t>
        </r>
      </text>
    </comment>
    <comment ref="E119" authorId="1">
      <text>
        <r>
          <rPr>
            <sz val="8"/>
            <rFont val="Tahoma"/>
            <family val="0"/>
          </rPr>
          <t xml:space="preserve">7/2/03: corrected detection level for input. 
</t>
        </r>
      </text>
    </comment>
    <comment ref="E115" authorId="1">
      <text>
        <r>
          <rPr>
            <sz val="8"/>
            <rFont val="Tahoma"/>
            <family val="2"/>
          </rPr>
          <t>same as new data set from Aug 2003</t>
        </r>
      </text>
    </comment>
    <comment ref="E118" authorId="1">
      <text>
        <r>
          <rPr>
            <sz val="8"/>
            <rFont val="Tahoma"/>
            <family val="0"/>
          </rPr>
          <t xml:space="preserve">same as new data set from Aug 2003
</t>
        </r>
      </text>
    </comment>
    <comment ref="E116" authorId="1">
      <text>
        <r>
          <rPr>
            <sz val="8"/>
            <rFont val="Tahoma"/>
            <family val="0"/>
          </rPr>
          <t xml:space="preserve">1996 data showed detected at 0.026. 1999-2003 data show all ND - lowest MDL is 0.00112
</t>
        </r>
      </text>
    </comment>
  </commentList>
</comments>
</file>

<file path=xl/comments4.xml><?xml version="1.0" encoding="utf-8"?>
<comments xmlns="http://schemas.openxmlformats.org/spreadsheetml/2006/main">
  <authors>
    <author>laducan</author>
  </authors>
  <commentList>
    <comment ref="D41" authorId="0">
      <text>
        <r>
          <rPr>
            <sz val="8"/>
            <rFont val="Tahoma"/>
            <family val="0"/>
          </rPr>
          <t xml:space="preserve">
applicable only with HH criteria
</t>
        </r>
      </text>
    </comment>
    <comment ref="J41" authorId="0">
      <text>
        <r>
          <rPr>
            <sz val="8"/>
            <rFont val="Tahoma"/>
            <family val="0"/>
          </rPr>
          <t xml:space="preserve">
applicable only with HH criteria
</t>
        </r>
      </text>
    </comment>
    <comment ref="D42" authorId="0">
      <text>
        <r>
          <rPr>
            <sz val="8"/>
            <rFont val="Tahoma"/>
            <family val="0"/>
          </rPr>
          <t xml:space="preserve">
applicable only with HH criteria
</t>
        </r>
      </text>
    </comment>
    <comment ref="J42" authorId="0">
      <text>
        <r>
          <rPr>
            <sz val="8"/>
            <rFont val="Tahoma"/>
            <family val="0"/>
          </rPr>
          <t xml:space="preserve">
applicable only with HH criteria
</t>
        </r>
      </text>
    </comment>
    <comment ref="B40" authorId="0">
      <text>
        <r>
          <rPr>
            <sz val="8"/>
            <rFont val="Tahoma"/>
            <family val="0"/>
          </rPr>
          <t xml:space="preserve">
applicable only with HH criteria
</t>
        </r>
      </text>
    </comment>
    <comment ref="C40" authorId="0">
      <text>
        <r>
          <rPr>
            <sz val="8"/>
            <rFont val="Tahoma"/>
            <family val="0"/>
          </rPr>
          <t xml:space="preserve">
applicable only with HH criteria
</t>
        </r>
      </text>
    </comment>
    <comment ref="D40" authorId="0">
      <text>
        <r>
          <rPr>
            <sz val="8"/>
            <rFont val="Tahoma"/>
            <family val="0"/>
          </rPr>
          <t xml:space="preserve">
applicable only with HH criteria
</t>
        </r>
      </text>
    </comment>
    <comment ref="J40" authorId="0">
      <text>
        <r>
          <rPr>
            <sz val="8"/>
            <rFont val="Tahoma"/>
            <family val="0"/>
          </rPr>
          <t xml:space="preserve">
applicable only with HH criteria
</t>
        </r>
      </text>
    </comment>
    <comment ref="E40" authorId="0">
      <text>
        <r>
          <rPr>
            <sz val="8"/>
            <rFont val="Tahoma"/>
            <family val="0"/>
          </rPr>
          <t xml:space="preserve">applicable only with HH criteria
</t>
        </r>
      </text>
    </comment>
    <comment ref="A8" authorId="0">
      <text>
        <r>
          <rPr>
            <sz val="8"/>
            <rFont val="Tahoma"/>
            <family val="0"/>
          </rPr>
          <t xml:space="preserve">If sampling frequency is 4x/month or less, set n=4 (see pg. 8 of SIP).
</t>
        </r>
      </text>
    </comment>
    <comment ref="A7" authorId="0">
      <text>
        <r>
          <rPr>
            <sz val="8"/>
            <rFont val="Tahoma"/>
            <family val="2"/>
          </rPr>
          <t>Maximum of 10 for RB 2 facilities</t>
        </r>
      </text>
    </comment>
    <comment ref="K40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K41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K42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I40" authorId="0">
      <text>
        <r>
          <rPr>
            <sz val="8"/>
            <rFont val="Tahoma"/>
            <family val="0"/>
          </rPr>
          <t xml:space="preserve">
applicable only with HH criteria
</t>
        </r>
      </text>
    </comment>
    <comment ref="I41" authorId="0">
      <text>
        <r>
          <rPr>
            <sz val="8"/>
            <rFont val="Tahoma"/>
            <family val="0"/>
          </rPr>
          <t xml:space="preserve">
applicable only with HH criteria
</t>
        </r>
      </text>
    </comment>
    <comment ref="I42" authorId="0">
      <text>
        <r>
          <rPr>
            <sz val="8"/>
            <rFont val="Tahoma"/>
            <family val="0"/>
          </rPr>
          <t xml:space="preserve">
applicable only with HH criteria
</t>
        </r>
      </text>
    </comment>
    <comment ref="F40" authorId="0">
      <text>
        <r>
          <rPr>
            <sz val="8"/>
            <rFont val="Tahoma"/>
            <family val="0"/>
          </rPr>
          <t xml:space="preserve">
applicable only with HH criteria
</t>
        </r>
      </text>
    </comment>
    <comment ref="G40" authorId="0">
      <text>
        <r>
          <rPr>
            <sz val="8"/>
            <rFont val="Tahoma"/>
            <family val="0"/>
          </rPr>
          <t xml:space="preserve">
applicable only with HH criteria
</t>
        </r>
      </text>
    </comment>
  </commentList>
</comments>
</file>

<file path=xl/comments5.xml><?xml version="1.0" encoding="utf-8"?>
<comments xmlns="http://schemas.openxmlformats.org/spreadsheetml/2006/main">
  <authors>
    <author>TY</author>
  </authors>
  <commentList>
    <comment ref="C25" authorId="0">
      <text>
        <r>
          <rPr>
            <b/>
            <sz val="8"/>
            <rFont val="Tahoma"/>
            <family val="0"/>
          </rPr>
          <t xml:space="preserve">average of two values 0.0160 (2/2/2003), 0.0158  (2/20/2003)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TY</author>
    <author>Tong Yin</author>
  </authors>
  <commentList>
    <comment ref="I30" authorId="0">
      <text>
        <r>
          <rPr>
            <b/>
            <sz val="8"/>
            <rFont val="Tahoma"/>
            <family val="0"/>
          </rPr>
          <t>TY:discharger sent &lt;0.609)</t>
        </r>
        <r>
          <rPr>
            <sz val="8"/>
            <rFont val="Tahoma"/>
            <family val="0"/>
          </rPr>
          <t xml:space="preserve">
</t>
        </r>
      </text>
    </comment>
    <comment ref="X32" authorId="1">
      <text>
        <r>
          <rPr>
            <sz val="8"/>
            <rFont val="Tahoma"/>
            <family val="0"/>
          </rPr>
          <t xml:space="preserve">8.96 is deleted, as the discharger claimed the false high value by using inappropriate testing method for drinking water
</t>
        </r>
      </text>
    </comment>
  </commentList>
</comments>
</file>

<file path=xl/comments8.xml><?xml version="1.0" encoding="utf-8"?>
<comments xmlns="http://schemas.openxmlformats.org/spreadsheetml/2006/main">
  <authors>
    <author>laducan</author>
  </authors>
  <commentList>
    <comment ref="B10" authorId="0">
      <text>
        <r>
          <rPr>
            <sz val="8"/>
            <rFont val="Tahoma"/>
            <family val="0"/>
          </rPr>
          <t xml:space="preserve">reported as "2,4,6-trichlorobenzene" in .xls file. Assumed it was a typo and should be 2,4,6-trichlorophenol.
</t>
        </r>
      </text>
    </comment>
    <comment ref="B27" authorId="0">
      <text>
        <r>
          <rPr>
            <sz val="8"/>
            <rFont val="Tahoma"/>
            <family val="0"/>
          </rPr>
          <t xml:space="preserve">defined as the sum of alpha-, beta-endosulfan, and endosulfan sulfate
</t>
        </r>
      </text>
    </comment>
    <comment ref="B19" authorId="0">
      <text>
        <r>
          <rPr>
            <sz val="8"/>
            <rFont val="Tahoma"/>
            <family val="0"/>
          </rPr>
          <t xml:space="preserve">gamma-BHC
</t>
        </r>
      </text>
    </comment>
    <comment ref="B21" authorId="0">
      <text>
        <r>
          <rPr>
            <sz val="8"/>
            <rFont val="Tahoma"/>
            <family val="0"/>
          </rPr>
          <t xml:space="preserve">is this representative of the SUM of 4,4'-DDD, 4,4'-DDE, and 4,4'-DDT?
</t>
        </r>
      </text>
    </comment>
    <comment ref="P2" authorId="0">
      <text>
        <r>
          <rPr>
            <sz val="8"/>
            <rFont val="Tahoma"/>
            <family val="0"/>
          </rPr>
          <t xml:space="preserve">Additional Discharger data received 6/5/2003; after original RPA was drafted.  Received data for Aldrin &amp; Heptachlor, which changes RPA results.
</t>
        </r>
      </text>
    </comment>
  </commentList>
</comments>
</file>

<file path=xl/sharedStrings.xml><?xml version="1.0" encoding="utf-8"?>
<sst xmlns="http://schemas.openxmlformats.org/spreadsheetml/2006/main" count="5187" uniqueCount="581">
  <si>
    <t>Beginning</t>
  </si>
  <si>
    <t>Step 2</t>
  </si>
  <si>
    <t>Step 3</t>
  </si>
  <si>
    <t>Step 4</t>
  </si>
  <si>
    <t>Step 5</t>
  </si>
  <si>
    <t>Step 6</t>
  </si>
  <si>
    <t xml:space="preserve">Constituent name </t>
  </si>
  <si>
    <t>Basin Plan Objectives (ug/L)- Regional Board 2</t>
  </si>
  <si>
    <t>CTR Water Quality Criteria (ug/L)</t>
  </si>
  <si>
    <t>from Table 4-3</t>
  </si>
  <si>
    <t>Saltwater</t>
  </si>
  <si>
    <t xml:space="preserve">Conversion Factor (CF) </t>
  </si>
  <si>
    <t>Deep Water (24-hr)</t>
  </si>
  <si>
    <t>1-hr</t>
  </si>
  <si>
    <t>24-hr</t>
  </si>
  <si>
    <t>Max</t>
  </si>
  <si>
    <t>4-day</t>
  </si>
  <si>
    <t>Organisms only</t>
  </si>
  <si>
    <t>saltwater acute criteria</t>
  </si>
  <si>
    <t>saltwater chronic criteria</t>
  </si>
  <si>
    <t>Antimony</t>
  </si>
  <si>
    <t>Y</t>
  </si>
  <si>
    <t>N</t>
  </si>
  <si>
    <t xml:space="preserve">Beryllium </t>
  </si>
  <si>
    <t>5a</t>
  </si>
  <si>
    <t>Chromium (III)</t>
  </si>
  <si>
    <t>5b</t>
  </si>
  <si>
    <t>Thallium</t>
  </si>
  <si>
    <t>Asbestos</t>
  </si>
  <si>
    <t xml:space="preserve">2,3,7,8 TCDD (303d listed) </t>
  </si>
  <si>
    <t>Acrolein</t>
  </si>
  <si>
    <t>Acrylonitrile</t>
  </si>
  <si>
    <t>Benzene</t>
  </si>
  <si>
    <t>Bromoform</t>
  </si>
  <si>
    <t>Carbon Tetrachloride</t>
  </si>
  <si>
    <t>Chlorobenzene</t>
  </si>
  <si>
    <t>Chlorodibromomethane</t>
  </si>
  <si>
    <t>Chloroethane</t>
  </si>
  <si>
    <t>2-Chloroethylvinyl ether</t>
  </si>
  <si>
    <t>Chloroform</t>
  </si>
  <si>
    <t>Dichlorobromomethane</t>
  </si>
  <si>
    <t>1,1-Dichloroethane</t>
  </si>
  <si>
    <t>1,2-Dichloroethane</t>
  </si>
  <si>
    <t>1,1-Dichloroethylene</t>
  </si>
  <si>
    <t>1,2-Dichloropropane</t>
  </si>
  <si>
    <t>1,3-Dichloropropylene</t>
  </si>
  <si>
    <t>Ethylbenzene</t>
  </si>
  <si>
    <t>Methyl Bromide</t>
  </si>
  <si>
    <t>Methyl Chloride</t>
  </si>
  <si>
    <t>Methylene Chloride</t>
  </si>
  <si>
    <t>1,1,2,2-Tetrachloroethane</t>
  </si>
  <si>
    <t>Tetrachloroethylene</t>
  </si>
  <si>
    <t>Toluene</t>
  </si>
  <si>
    <t>1,2-Trans-Dichloroethylene</t>
  </si>
  <si>
    <t>1,1,1-Trichloroethane</t>
  </si>
  <si>
    <t>1,1,2-Trichloroethane</t>
  </si>
  <si>
    <t>Trichloroethylene</t>
  </si>
  <si>
    <t>Vinyl Chloride</t>
  </si>
  <si>
    <t>2-Chlorophenol</t>
  </si>
  <si>
    <t>2,4-Dichlorophenol</t>
  </si>
  <si>
    <t>2,4-Dimethylphenol</t>
  </si>
  <si>
    <t>2-Methyl- 4,6-Dinitrophenol</t>
  </si>
  <si>
    <t>2,4-Dinitrophenol</t>
  </si>
  <si>
    <t>2-Nitrophenol</t>
  </si>
  <si>
    <t>4-Nitrophenol</t>
  </si>
  <si>
    <t>3-Methyl 4-Chlorophenol</t>
  </si>
  <si>
    <t>Pentachlorophenol</t>
  </si>
  <si>
    <t>Phenol</t>
  </si>
  <si>
    <t>2,4,6-Trichlorophenol</t>
  </si>
  <si>
    <t>Acenaphthene</t>
  </si>
  <si>
    <t>Acenaphthylene</t>
  </si>
  <si>
    <t>Anthracene</t>
  </si>
  <si>
    <t>Benzidine</t>
  </si>
  <si>
    <t>Benzo(a)Anthracene</t>
  </si>
  <si>
    <t>Benzo(a)Pyrene</t>
  </si>
  <si>
    <t>Benzo(b)Fluoranthene</t>
  </si>
  <si>
    <t>Benzo(ghi)Perylene</t>
  </si>
  <si>
    <t>Benzo(k)Fluoranthene</t>
  </si>
  <si>
    <t>Bis(2-Chloroethoxy)Methane</t>
  </si>
  <si>
    <t>Bis(2-Chloroethyl)Ether</t>
  </si>
  <si>
    <t>Bis(2-Chloroisopropyl)Ether</t>
  </si>
  <si>
    <t>Bis(2-Ethylhexyl)Phthalate</t>
  </si>
  <si>
    <t>4-Bromophenyl Phenyl Ether</t>
  </si>
  <si>
    <t>Butylbenzyl Phthalate</t>
  </si>
  <si>
    <t>2-Chloronaphthalene</t>
  </si>
  <si>
    <t>4-Chlorophenyl Phenyl Ether</t>
  </si>
  <si>
    <t>Chrysene</t>
  </si>
  <si>
    <t>Dibenzo(a,h)Anthracene</t>
  </si>
  <si>
    <t>1,2-Dichlorobenzene</t>
  </si>
  <si>
    <t>1,3-Dichlorobenzene</t>
  </si>
  <si>
    <t>1,4-Dichlorobenzene</t>
  </si>
  <si>
    <t>3,3 Dichlorobenzidine</t>
  </si>
  <si>
    <t>Diethyl Phthalate</t>
  </si>
  <si>
    <t>Dimethyl Phthalate</t>
  </si>
  <si>
    <t>Di-n-Butyl Phthalate</t>
  </si>
  <si>
    <t>2,4-Dinitrotoluene</t>
  </si>
  <si>
    <t>2,6-Dinitrotoluene</t>
  </si>
  <si>
    <t>Di-n-Octyl Phthalate</t>
  </si>
  <si>
    <t>1,2-Diphenylhydrazine</t>
  </si>
  <si>
    <t>Fluoranthene</t>
  </si>
  <si>
    <t>Fluorene</t>
  </si>
  <si>
    <t>Hexachlorobenzene</t>
  </si>
  <si>
    <t>Hexachlorobutadiene</t>
  </si>
  <si>
    <t>Hexachlorocyclopentadiene</t>
  </si>
  <si>
    <t>Hexachloroethane</t>
  </si>
  <si>
    <t>Indeno(1,2,3-cd)Pyrene</t>
  </si>
  <si>
    <t>Isophorone</t>
  </si>
  <si>
    <t>Naphthalene</t>
  </si>
  <si>
    <t>Nitrobenzene</t>
  </si>
  <si>
    <t>N-Nitrosodimethylamine</t>
  </si>
  <si>
    <t>N-Nitrosodi-n-Propylamine</t>
  </si>
  <si>
    <t>N-Nitrosodiphenylamine</t>
  </si>
  <si>
    <t>Phenanthrene</t>
  </si>
  <si>
    <t>Pyrene</t>
  </si>
  <si>
    <t>1,2,4-Trichlorobenzene</t>
  </si>
  <si>
    <t>Aldrin</t>
  </si>
  <si>
    <t>alpha-BHC</t>
  </si>
  <si>
    <t>beta-BHC</t>
  </si>
  <si>
    <t>gamma-BHC</t>
  </si>
  <si>
    <t>delta-BHC</t>
  </si>
  <si>
    <t>Chlordane (303d listed)</t>
  </si>
  <si>
    <t>4,4'-DDT (303d listed)</t>
  </si>
  <si>
    <t>4,4'-DDE (linked to DDT)</t>
  </si>
  <si>
    <t>4,4'-DDD</t>
  </si>
  <si>
    <t>Dieldrin (303d listed)</t>
  </si>
  <si>
    <t>alpha-Endosulfan</t>
  </si>
  <si>
    <t>beta-Endolsulfan</t>
  </si>
  <si>
    <t>Endosulfan Sulfate</t>
  </si>
  <si>
    <t>Endrin</t>
  </si>
  <si>
    <t>Endrin Aldehyde</t>
  </si>
  <si>
    <t>Heptachlor</t>
  </si>
  <si>
    <t>Heptachlor Epoxide</t>
  </si>
  <si>
    <t>Toxaphene</t>
  </si>
  <si>
    <r>
      <t xml:space="preserve">Arsenic </t>
    </r>
    <r>
      <rPr>
        <vertAlign val="superscript"/>
        <sz val="10"/>
        <rFont val="Arial"/>
        <family val="2"/>
      </rPr>
      <t>b</t>
    </r>
  </si>
  <si>
    <r>
      <t xml:space="preserve">Cadmium  </t>
    </r>
    <r>
      <rPr>
        <vertAlign val="superscript"/>
        <sz val="10"/>
        <rFont val="Arial"/>
        <family val="2"/>
      </rPr>
      <t>b</t>
    </r>
  </si>
  <si>
    <r>
      <t>Copper (303d listed)</t>
    </r>
    <r>
      <rPr>
        <vertAlign val="superscript"/>
        <sz val="10"/>
        <rFont val="Arial"/>
        <family val="2"/>
      </rPr>
      <t xml:space="preserve"> c  </t>
    </r>
  </si>
  <si>
    <r>
      <t xml:space="preserve">Lead </t>
    </r>
    <r>
      <rPr>
        <vertAlign val="superscript"/>
        <sz val="10"/>
        <rFont val="Arial"/>
        <family val="2"/>
      </rPr>
      <t>b</t>
    </r>
  </si>
  <si>
    <r>
      <t xml:space="preserve">Mercury (303d listed) </t>
    </r>
    <r>
      <rPr>
        <vertAlign val="superscript"/>
        <sz val="10"/>
        <rFont val="Arial"/>
        <family val="2"/>
      </rPr>
      <t>b</t>
    </r>
  </si>
  <si>
    <r>
      <t xml:space="preserve">Nickel </t>
    </r>
    <r>
      <rPr>
        <vertAlign val="superscript"/>
        <sz val="10"/>
        <rFont val="Arial"/>
        <family val="2"/>
      </rPr>
      <t>b</t>
    </r>
  </si>
  <si>
    <r>
      <t xml:space="preserve">Silver </t>
    </r>
    <r>
      <rPr>
        <vertAlign val="superscript"/>
        <sz val="10"/>
        <rFont val="Arial"/>
        <family val="2"/>
      </rPr>
      <t>b</t>
    </r>
  </si>
  <si>
    <r>
      <t xml:space="preserve">Zinc </t>
    </r>
    <r>
      <rPr>
        <vertAlign val="superscript"/>
        <sz val="10"/>
        <rFont val="Arial"/>
        <family val="2"/>
      </rPr>
      <t>b</t>
    </r>
  </si>
  <si>
    <r>
      <t xml:space="preserve">Cyanide </t>
    </r>
    <r>
      <rPr>
        <vertAlign val="superscript"/>
        <sz val="10"/>
        <rFont val="Arial"/>
        <family val="2"/>
      </rPr>
      <t>b</t>
    </r>
  </si>
  <si>
    <r>
      <t xml:space="preserve">Selenium (303d listed) </t>
    </r>
    <r>
      <rPr>
        <vertAlign val="superscript"/>
        <sz val="10"/>
        <rFont val="Arial"/>
        <family val="2"/>
      </rPr>
      <t>b</t>
    </r>
  </si>
  <si>
    <r>
      <t xml:space="preserve">Chromium (VI) </t>
    </r>
    <r>
      <rPr>
        <vertAlign val="superscript"/>
        <sz val="10"/>
        <rFont val="Arial"/>
        <family val="2"/>
      </rPr>
      <t>b</t>
    </r>
  </si>
  <si>
    <r>
      <t>C (</t>
    </r>
    <r>
      <rPr>
        <sz val="10"/>
        <rFont val="Symbol"/>
        <family val="1"/>
      </rPr>
      <t>m</t>
    </r>
    <r>
      <rPr>
        <i/>
        <sz val="10"/>
        <rFont val="Arial"/>
        <family val="2"/>
      </rPr>
      <t>g/L)</t>
    </r>
  </si>
  <si>
    <r>
      <t xml:space="preserve">Lowest (most stringent) Criteria </t>
    </r>
    <r>
      <rPr>
        <i/>
        <vertAlign val="superscript"/>
        <sz val="10"/>
        <rFont val="Arial"/>
        <family val="2"/>
      </rPr>
      <t>e</t>
    </r>
  </si>
  <si>
    <t>Effluent Data Available (Y/N)?</t>
  </si>
  <si>
    <t>Are all data points non-detects (Y/N)?</t>
  </si>
  <si>
    <t>Final Result</t>
  </si>
  <si>
    <t>PRIORITY POLLUTANTS</t>
  </si>
  <si>
    <t>Arsenic</t>
  </si>
  <si>
    <t>Basis and Criteria type</t>
  </si>
  <si>
    <t>Lowest WQO</t>
  </si>
  <si>
    <t>Translators</t>
  </si>
  <si>
    <t>Dilution Factor (D) (if applicable)</t>
  </si>
  <si>
    <t>no. of samples per month</t>
  </si>
  <si>
    <t>HH criteria analysis required? (Y/N)</t>
  </si>
  <si>
    <t>Applicable Acute WQO</t>
  </si>
  <si>
    <t>Applicable Chronic WQO</t>
  </si>
  <si>
    <t>HH criteria</t>
  </si>
  <si>
    <t>Background (avg conc for HH calc)</t>
  </si>
  <si>
    <t>Is the pollutant Bioaccumulative(Y/N)? (e.g., Hg)</t>
  </si>
  <si>
    <t>ECA acute</t>
  </si>
  <si>
    <t>ECA chronic</t>
  </si>
  <si>
    <t>ECA HH</t>
  </si>
  <si>
    <t>avg of data points</t>
  </si>
  <si>
    <t>SD</t>
  </si>
  <si>
    <t>CV calculated</t>
  </si>
  <si>
    <t>CV (Selected) - Final</t>
  </si>
  <si>
    <t>ECA acute mult99</t>
  </si>
  <si>
    <t>ECA chronic mult99</t>
  </si>
  <si>
    <t>LTA acute</t>
  </si>
  <si>
    <t>LTA chronic</t>
  </si>
  <si>
    <t>minimum of LTAs</t>
  </si>
  <si>
    <t>AMEL mult95</t>
  </si>
  <si>
    <t>MDEL mult99</t>
  </si>
  <si>
    <t>AMEL (aq life)</t>
  </si>
  <si>
    <t>MDEL(aq life)</t>
  </si>
  <si>
    <t xml:space="preserve">MDEL/AMEL Multiplier </t>
  </si>
  <si>
    <t>AMEL (human hlth)</t>
  </si>
  <si>
    <t>MDEL (human hlth)</t>
  </si>
  <si>
    <t>minimum of AMEL for Aq. life vs HH</t>
  </si>
  <si>
    <t>minimum of MDEL for Aq. Life vs HH</t>
  </si>
  <si>
    <t>Current limit in permit (30-d avg)</t>
  </si>
  <si>
    <t>N/A</t>
  </si>
  <si>
    <t>Current limits in permit (daily)</t>
  </si>
  <si>
    <t>Interim Limits for those where TMDL is final limit</t>
  </si>
  <si>
    <t>Lowest (most stringent) Criteria (Enter "No Criteria" for no criteria)</t>
  </si>
  <si>
    <t>Is it a RB2 facility (Y/N)?</t>
  </si>
  <si>
    <t>pH (s.u.)</t>
  </si>
  <si>
    <t>Note: Numbers in blue have formula in the cells - calculates values automatically</t>
  </si>
  <si>
    <t>Saltwater                   (from Table 3-3)</t>
  </si>
  <si>
    <t>Human Health for consumption of:</t>
  </si>
  <si>
    <t># in CTR</t>
  </si>
  <si>
    <t>Shallow Water</t>
  </si>
  <si>
    <t>CMC (acute)</t>
  </si>
  <si>
    <t>CCC (chronic)</t>
  </si>
  <si>
    <t>Water &amp; organisms</t>
  </si>
  <si>
    <t>ug/L</t>
  </si>
  <si>
    <t>Beryllium</t>
  </si>
  <si>
    <t>Cadmium</t>
  </si>
  <si>
    <t>Chromium (VI) or total Cr</t>
  </si>
  <si>
    <t xml:space="preserve">Copper </t>
  </si>
  <si>
    <t>Lead</t>
  </si>
  <si>
    <t>Mercury</t>
  </si>
  <si>
    <t>Nickel</t>
  </si>
  <si>
    <t>Selenium</t>
  </si>
  <si>
    <t>Silver</t>
  </si>
  <si>
    <t>Zinc</t>
  </si>
  <si>
    <t>Cyanide</t>
  </si>
  <si>
    <t>2,3,7,8-TCDD (Dioxin)</t>
  </si>
  <si>
    <t>Chlordibromomethane</t>
  </si>
  <si>
    <t>2-Chloroethylvinyl Ether</t>
  </si>
  <si>
    <t>Chlorophenol</t>
  </si>
  <si>
    <t>2-Methyl-4,6-Dinitrophenol</t>
  </si>
  <si>
    <t>3-Methyl-4-Chlorophenol</t>
  </si>
  <si>
    <t>Acenephthylene</t>
  </si>
  <si>
    <t>3,3'-Dichlorobenzidine</t>
  </si>
  <si>
    <t>Indeno(1,2,3-cd) Pyrene</t>
  </si>
  <si>
    <t>naphthalene</t>
  </si>
  <si>
    <t>Chlordane</t>
  </si>
  <si>
    <t>4,4-DDT</t>
  </si>
  <si>
    <t>4,4-DDE</t>
  </si>
  <si>
    <t>4,4-DDD</t>
  </si>
  <si>
    <t>Dieldrin</t>
  </si>
  <si>
    <t>beta-Endosulfan</t>
  </si>
  <si>
    <t>Heptchlor Epoxide</t>
  </si>
  <si>
    <t>119-125</t>
  </si>
  <si>
    <t>PCBs sum (2)</t>
  </si>
  <si>
    <t>Tributyltin</t>
  </si>
  <si>
    <t>Notes:</t>
  </si>
  <si>
    <t>(1)</t>
  </si>
  <si>
    <t xml:space="preserve">Reasonable Potential Analysis based on the lowest CTR criteria except for arsenic, cadmium, chromium, lead, mercury, nickel, </t>
  </si>
  <si>
    <t>and zinc where the lowest Basin Plan water quality objectives are more stringent, therefore apply.</t>
  </si>
  <si>
    <t>(2)</t>
  </si>
  <si>
    <t xml:space="preserve">PCBs sum refers to sum of PCB 1016, 1221, 1232, 1242, 1248, 1254, and 1260 </t>
  </si>
  <si>
    <t>Reason</t>
  </si>
  <si>
    <t>Copper</t>
  </si>
  <si>
    <t>HH</t>
  </si>
  <si>
    <t>If all data points are ND and MinDL&gt;C, interim monitoring is required</t>
  </si>
  <si>
    <t xml:space="preserve">      (MEC= deteted max value; if all ND &amp; MDL&lt;C then MEC = MDL)</t>
  </si>
  <si>
    <t>Maximum Pollutant Concentration from the effluent (MEC) (ug/L)</t>
  </si>
  <si>
    <t>If all data points ND Enter the min detection limit (MDL) (ug/L)</t>
  </si>
  <si>
    <t>Enter the pollutant effluent detected max conc (ug/L)</t>
  </si>
  <si>
    <t>MEC vs. C</t>
  </si>
  <si>
    <t xml:space="preserve">1. If MEC&gt; or =C, effluent limitation is required; 2. If MEC&lt;C, go to Step 5 </t>
  </si>
  <si>
    <t>B vs. C</t>
  </si>
  <si>
    <t>If B&gt;C, effluent limitation is required</t>
  </si>
  <si>
    <t>Steps 7 &amp; 8</t>
  </si>
  <si>
    <t xml:space="preserve">7) Review other information in the SIP page 4.  If information is unavailable or insufficient: 8) the RWQCB shall establish interim monitoring requirements. </t>
  </si>
  <si>
    <t>RPA Result</t>
  </si>
  <si>
    <t>Input Check</t>
  </si>
  <si>
    <t>Yellow highlights are user input</t>
  </si>
  <si>
    <t>Green highlight checks for input inconsistency (see "input check" spreadsheet for logic)</t>
  </si>
  <si>
    <r>
      <t xml:space="preserve">Arsenic </t>
    </r>
    <r>
      <rPr>
        <vertAlign val="superscript"/>
        <sz val="8"/>
        <rFont val="Arial"/>
        <family val="2"/>
      </rPr>
      <t>b</t>
    </r>
  </si>
  <si>
    <r>
      <t xml:space="preserve">Cadmium  </t>
    </r>
    <r>
      <rPr>
        <vertAlign val="superscript"/>
        <sz val="8"/>
        <rFont val="Arial"/>
        <family val="2"/>
      </rPr>
      <t>b</t>
    </r>
  </si>
  <si>
    <r>
      <t xml:space="preserve">Chromium (VI) </t>
    </r>
    <r>
      <rPr>
        <vertAlign val="superscript"/>
        <sz val="8"/>
        <rFont val="Arial"/>
        <family val="2"/>
      </rPr>
      <t>b</t>
    </r>
  </si>
  <si>
    <r>
      <t xml:space="preserve">Lead </t>
    </r>
    <r>
      <rPr>
        <vertAlign val="superscript"/>
        <sz val="8"/>
        <rFont val="Arial"/>
        <family val="2"/>
      </rPr>
      <t>b</t>
    </r>
  </si>
  <si>
    <r>
      <t xml:space="preserve">Mercury (303d listed) </t>
    </r>
    <r>
      <rPr>
        <vertAlign val="superscript"/>
        <sz val="8"/>
        <rFont val="Arial"/>
        <family val="2"/>
      </rPr>
      <t>b</t>
    </r>
  </si>
  <si>
    <r>
      <t xml:space="preserve">Selenium (303d listed) </t>
    </r>
    <r>
      <rPr>
        <vertAlign val="superscript"/>
        <sz val="8"/>
        <rFont val="Arial"/>
        <family val="2"/>
      </rPr>
      <t>b</t>
    </r>
  </si>
  <si>
    <r>
      <t xml:space="preserve">Silver </t>
    </r>
    <r>
      <rPr>
        <vertAlign val="superscript"/>
        <sz val="8"/>
        <rFont val="Arial"/>
        <family val="2"/>
      </rPr>
      <t>b</t>
    </r>
  </si>
  <si>
    <r>
      <t xml:space="preserve">Zinc </t>
    </r>
    <r>
      <rPr>
        <vertAlign val="superscript"/>
        <sz val="8"/>
        <rFont val="Arial"/>
        <family val="2"/>
      </rPr>
      <t>b</t>
    </r>
  </si>
  <si>
    <r>
      <t xml:space="preserve">Cyanide </t>
    </r>
    <r>
      <rPr>
        <vertAlign val="superscript"/>
        <sz val="8"/>
        <rFont val="Arial"/>
        <family val="2"/>
      </rPr>
      <t>b</t>
    </r>
  </si>
  <si>
    <t>Tributylin</t>
  </si>
  <si>
    <t>B Available (Y/N)?</t>
  </si>
  <si>
    <t>Are all B non-detects (Y/N)?</t>
  </si>
  <si>
    <t>Enter the Detected Maximum Background Conc</t>
  </si>
  <si>
    <t>EFFLUENT  DATA</t>
  </si>
  <si>
    <t>Are all B data points non-detects (Y/N)?</t>
  </si>
  <si>
    <t>Enter the pollutant B detected max conc (ug/L)</t>
  </si>
  <si>
    <t>If all B is ND, is MDL&gt;C?</t>
  </si>
  <si>
    <t>RECEIVING WATER (BACKGROUND) DATA (B)</t>
  </si>
  <si>
    <t>&lt;</t>
  </si>
  <si>
    <t>Dioxin</t>
  </si>
  <si>
    <t>Aquatic life criteria analysis required? (Y/N)</t>
  </si>
  <si>
    <t>4,4'-DDE</t>
  </si>
  <si>
    <t>CTR No.</t>
  </si>
  <si>
    <t>Max Effl Conc (MEC)</t>
  </si>
  <si>
    <t>CTR - SW</t>
  </si>
  <si>
    <t>BP FW (4-d, 1-hr avg)</t>
  </si>
  <si>
    <t>BP SW (4-d, 1-hr avg)</t>
  </si>
  <si>
    <t>BP SW (24-hr, inst. Max)</t>
  </si>
  <si>
    <t>BP SW (inst. Max)</t>
  </si>
  <si>
    <t>Background (max conc for Aquatic Life calc)</t>
  </si>
  <si>
    <t>No. of data points &lt;10 or at least 80% of data reported non detect? (Y/N)</t>
  </si>
  <si>
    <t>Final limit - Calculated AMEL</t>
  </si>
  <si>
    <t>Final limit - Calculated MDEL</t>
  </si>
  <si>
    <t>Date</t>
  </si>
  <si>
    <t>Count, n</t>
  </si>
  <si>
    <t>Average Moving Average Load</t>
  </si>
  <si>
    <t>Standard Deviation MA Load</t>
  </si>
  <si>
    <t>Ave + 3SD, kg/mo</t>
  </si>
  <si>
    <t>Mercury Mass Emission Limit =</t>
  </si>
  <si>
    <t>kg/month</t>
  </si>
  <si>
    <t>ND</t>
  </si>
  <si>
    <t>As</t>
  </si>
  <si>
    <t>for Calc</t>
  </si>
  <si>
    <t>Cd</t>
  </si>
  <si>
    <t>Cr6</t>
  </si>
  <si>
    <t>Cu</t>
  </si>
  <si>
    <t>Pb</t>
  </si>
  <si>
    <t>Hg</t>
  </si>
  <si>
    <t>Ni</t>
  </si>
  <si>
    <t>Se</t>
  </si>
  <si>
    <t>Ag</t>
  </si>
  <si>
    <t>Zn</t>
  </si>
  <si>
    <t>CN</t>
  </si>
  <si>
    <t xml:space="preserve"> </t>
  </si>
  <si>
    <t>MDL</t>
  </si>
  <si>
    <t>--</t>
  </si>
  <si>
    <t>All ND?</t>
  </si>
  <si>
    <t>Max conc</t>
  </si>
  <si>
    <t>No. of data</t>
  </si>
  <si>
    <t>No. of ND</t>
  </si>
  <si>
    <t>% ND</t>
  </si>
  <si>
    <t>Average</t>
  </si>
  <si>
    <t>STD DEV</t>
  </si>
  <si>
    <t>CV</t>
  </si>
  <si>
    <t>Constituent</t>
  </si>
  <si>
    <t>MEC or Lowest MDL</t>
  </si>
  <si>
    <t>1,2 Dichlorobenzene</t>
  </si>
  <si>
    <t>NA</t>
  </si>
  <si>
    <t>1,3 Dichlorobenzene</t>
  </si>
  <si>
    <t>1,4 Dichlorobenzene</t>
  </si>
  <si>
    <t>2,4,6 Trichlorophenol</t>
  </si>
  <si>
    <t>a-BHC</t>
  </si>
  <si>
    <t>b-BHC</t>
  </si>
  <si>
    <t>DDT</t>
  </si>
  <si>
    <t>Dichloromethane</t>
  </si>
  <si>
    <t>112-114</t>
  </si>
  <si>
    <t>Endosulfan</t>
  </si>
  <si>
    <t>y- BHC (Lindane)</t>
  </si>
  <si>
    <t>Halomethanes</t>
  </si>
  <si>
    <t>*</t>
  </si>
  <si>
    <t>PCBs (Total)</t>
  </si>
  <si>
    <t>TCDD Equivalents [dioxin]</t>
  </si>
  <si>
    <t>Station</t>
  </si>
  <si>
    <t>Ag*</t>
  </si>
  <si>
    <t>Cd*</t>
  </si>
  <si>
    <t>Cr</t>
  </si>
  <si>
    <t>Cu*</t>
  </si>
  <si>
    <t>Ni*</t>
  </si>
  <si>
    <t>Pb*</t>
  </si>
  <si>
    <t>Zn*</t>
  </si>
  <si>
    <t>µg/L</t>
  </si>
  <si>
    <t>Yerba Buena Island</t>
  </si>
  <si>
    <t>b 0.0035</t>
  </si>
  <si>
    <t>b 0.0068</t>
  </si>
  <si>
    <t>e 0.02</t>
  </si>
  <si>
    <t>b 0.007</t>
  </si>
  <si>
    <t>b 0.0069</t>
  </si>
  <si>
    <t>e 0.039</t>
  </si>
  <si>
    <t>2-Methylphenanthrene</t>
  </si>
  <si>
    <t>Methylanthracene</t>
  </si>
  <si>
    <t>Total Alkanes</t>
  </si>
  <si>
    <t>SUM PAHS (SFEI)</t>
  </si>
  <si>
    <t>SUM LPAHS (SFEI)</t>
  </si>
  <si>
    <t>Biphenyl</t>
  </si>
  <si>
    <t>1-Methylnaphthalene</t>
  </si>
  <si>
    <t>2-Methylnaphthalene</t>
  </si>
  <si>
    <t>2,6-Dimethylnaphthalene</t>
  </si>
  <si>
    <t>2,3,5-Trimethylnaphthalene</t>
  </si>
  <si>
    <t>Dibenzothiophene</t>
  </si>
  <si>
    <t>1-Methylphenanthrene</t>
  </si>
  <si>
    <t>SUM HPAHS (SFEI)</t>
  </si>
  <si>
    <t>Benz(a)anthracene</t>
  </si>
  <si>
    <t>Benzo(a)pyrene</t>
  </si>
  <si>
    <t>Benzo(e)pyrene</t>
  </si>
  <si>
    <t>Benzo(b)fluoranthene</t>
  </si>
  <si>
    <t>Benzo(k)fluoranthene</t>
  </si>
  <si>
    <t>Dibenz(a,h)anthracene</t>
  </si>
  <si>
    <t>Perylene</t>
  </si>
  <si>
    <t>Benzo(ghi)perylene</t>
  </si>
  <si>
    <t>Indeno(1,2,3-cd)pyrene</t>
  </si>
  <si>
    <t>Methylchlorpyrifos</t>
  </si>
  <si>
    <t>p,p^-DDMU</t>
  </si>
  <si>
    <t>Trifluralin</t>
  </si>
  <si>
    <t>Chlorpyrifos</t>
  </si>
  <si>
    <t>Dacthal</t>
  </si>
  <si>
    <t>Diazinon</t>
  </si>
  <si>
    <t>Endosulfan I</t>
  </si>
  <si>
    <t>Endosulfan II</t>
  </si>
  <si>
    <t>Oxadiazon</t>
  </si>
  <si>
    <t>SUM DDTs (SFEI)</t>
  </si>
  <si>
    <t>o,p^-DDD</t>
  </si>
  <si>
    <t>o,p^-DDE</t>
  </si>
  <si>
    <t>o,p^-DDT</t>
  </si>
  <si>
    <t>p,p^-DDD</t>
  </si>
  <si>
    <t>p,p^-DDE</t>
  </si>
  <si>
    <t>p,p^-DDT</t>
  </si>
  <si>
    <t>SUM Chlordanes (SFEI)</t>
  </si>
  <si>
    <t>alpha-Chlordane</t>
  </si>
  <si>
    <t>gamma-Chlordane</t>
  </si>
  <si>
    <t>cis-Nonachlor</t>
  </si>
  <si>
    <t>trans-Nonachlor</t>
  </si>
  <si>
    <t>Oxychlordane</t>
  </si>
  <si>
    <t>Sum HCHs (SFEI)</t>
  </si>
  <si>
    <t>alpha-HCH</t>
  </si>
  <si>
    <t>beta-HCH</t>
  </si>
  <si>
    <t>delta-HCH</t>
  </si>
  <si>
    <t>gamma-HCH</t>
  </si>
  <si>
    <t>Mirex</t>
  </si>
  <si>
    <t>Maximum</t>
  </si>
  <si>
    <t>Additional Data</t>
  </si>
  <si>
    <t>Sample_Number</t>
  </si>
  <si>
    <t>Source_Name</t>
  </si>
  <si>
    <t>Sample_Date</t>
  </si>
  <si>
    <t>Analyte_Name</t>
  </si>
  <si>
    <t>Qualifier</t>
  </si>
  <si>
    <t>Value</t>
  </si>
  <si>
    <t>Units</t>
  </si>
  <si>
    <t>Input for RPA</t>
  </si>
  <si>
    <t>acenaphthene</t>
  </si>
  <si>
    <t>acenaphthylene</t>
  </si>
  <si>
    <t>anthracene</t>
  </si>
  <si>
    <t>benzo[a]anthracene</t>
  </si>
  <si>
    <t>Benzo[a]pyrene</t>
  </si>
  <si>
    <t>benzo[b]fluoranthene</t>
  </si>
  <si>
    <t>benzo[ghi]perylene</t>
  </si>
  <si>
    <t>benzo[k]fluoranthene</t>
  </si>
  <si>
    <t>chrysene</t>
  </si>
  <si>
    <t>dibenz[a,h]anthracene</t>
  </si>
  <si>
    <t>fluoranthene</t>
  </si>
  <si>
    <t>fluorene</t>
  </si>
  <si>
    <t>indeno[1,2,3-cd]pyrene</t>
  </si>
  <si>
    <t>phenanthrene</t>
  </si>
  <si>
    <t>pyrene</t>
  </si>
  <si>
    <t>Total PAHs</t>
  </si>
  <si>
    <t>ng/L</t>
  </si>
  <si>
    <t>4,4'-DDT</t>
  </si>
  <si>
    <t xml:space="preserve">alpha-BHC </t>
  </si>
  <si>
    <t>Aroclor-1016</t>
  </si>
  <si>
    <t>Aroclor-1221</t>
  </si>
  <si>
    <t>Aroclor-1232</t>
  </si>
  <si>
    <t>Aroclor-1242</t>
  </si>
  <si>
    <t>Aroclor-1248</t>
  </si>
  <si>
    <t>Aroclor-1254</t>
  </si>
  <si>
    <t>Aroclor-1260</t>
  </si>
  <si>
    <t xml:space="preserve">d-BHC </t>
  </si>
  <si>
    <t>Endosulfan sulfate</t>
  </si>
  <si>
    <t>Endrin aldehyde</t>
  </si>
  <si>
    <t>g-BHC (Lindane)</t>
  </si>
  <si>
    <t>Heptachlor epoxide</t>
  </si>
  <si>
    <t>Station Code</t>
  </si>
  <si>
    <t>Co</t>
  </si>
  <si>
    <t>Fe</t>
  </si>
  <si>
    <t>MeHg</t>
  </si>
  <si>
    <t>Mn*</t>
  </si>
  <si>
    <t>BC10</t>
  </si>
  <si>
    <t>e 0.04</t>
  </si>
  <si>
    <t>q 0.06</t>
  </si>
  <si>
    <t>q b 0.04</t>
  </si>
  <si>
    <t>p 0.025</t>
  </si>
  <si>
    <t xml:space="preserve">ND </t>
  </si>
  <si>
    <t>Q</t>
  </si>
  <si>
    <t>ND, p</t>
  </si>
  <si>
    <t>NR</t>
  </si>
  <si>
    <t xml:space="preserve">B </t>
  </si>
  <si>
    <t>e 0.08</t>
  </si>
  <si>
    <t xml:space="preserve">b 2.08 </t>
  </si>
  <si>
    <t>e 1.41</t>
  </si>
  <si>
    <t>e 2.65</t>
  </si>
  <si>
    <t>e 3.96</t>
  </si>
  <si>
    <t>e 1.22</t>
  </si>
  <si>
    <t>e 3.31</t>
  </si>
  <si>
    <t xml:space="preserve">Q </t>
  </si>
  <si>
    <t>B</t>
  </si>
  <si>
    <t>b 8.3</t>
  </si>
  <si>
    <t>S</t>
  </si>
  <si>
    <t>b 0.43</t>
  </si>
  <si>
    <t>CE</t>
  </si>
  <si>
    <t>b 6.6</t>
  </si>
  <si>
    <t>b 19</t>
  </si>
  <si>
    <t>b 7.8</t>
  </si>
  <si>
    <t>b 2.8</t>
  </si>
  <si>
    <t>b 5.3</t>
  </si>
  <si>
    <t>T</t>
  </si>
  <si>
    <t>e 2.4</t>
  </si>
  <si>
    <t>e 24.9</t>
  </si>
  <si>
    <t>M</t>
  </si>
  <si>
    <t>b 280</t>
  </si>
  <si>
    <t>b 2017</t>
  </si>
  <si>
    <t xml:space="preserve">T </t>
  </si>
  <si>
    <t>b 167</t>
  </si>
  <si>
    <t>b 51</t>
  </si>
  <si>
    <t xml:space="preserve">M </t>
  </si>
  <si>
    <t>b 23</t>
  </si>
  <si>
    <t>b 39</t>
  </si>
  <si>
    <t>b 4.2</t>
  </si>
  <si>
    <t>b 53</t>
  </si>
  <si>
    <t>bi 2.2</t>
  </si>
  <si>
    <t>b 54</t>
  </si>
  <si>
    <t>b 73</t>
  </si>
  <si>
    <t>b 250</t>
  </si>
  <si>
    <t>bi 8.5</t>
  </si>
  <si>
    <t>b 8.4</t>
  </si>
  <si>
    <t>b 80</t>
  </si>
  <si>
    <t>b 25</t>
  </si>
  <si>
    <t>b 31</t>
  </si>
  <si>
    <t>b 10</t>
  </si>
  <si>
    <t>b 22</t>
  </si>
  <si>
    <t>pg/L</t>
  </si>
  <si>
    <t>Date2</t>
  </si>
  <si>
    <t>Feasible for immediate compliance?</t>
  </si>
  <si>
    <t>No</t>
  </si>
  <si>
    <t>Yes</t>
  </si>
  <si>
    <t>Monthly Average Effluent Flow (mgd)</t>
  </si>
  <si>
    <t>Monthly Average Hg Concentration (ug/L)</t>
  </si>
  <si>
    <t>12-Month Moving Average Hg Mass Load (kg/month)</t>
  </si>
  <si>
    <t>Hg Monthly Mass Load (kg/month)</t>
  </si>
  <si>
    <t>TCDD TEQ</t>
  </si>
  <si>
    <t>US NAVY - TREASURE ISLAND - DIOXINS AND FURANS REPORT</t>
  </si>
  <si>
    <t>Method: EPA 1613</t>
  </si>
  <si>
    <t>DL</t>
  </si>
  <si>
    <t>RDL</t>
  </si>
  <si>
    <t>CAS No.</t>
  </si>
  <si>
    <t>Method</t>
  </si>
  <si>
    <t>Dilution Factor</t>
  </si>
  <si>
    <t>TIP_FINAL_EFFLUENT</t>
  </si>
  <si>
    <t>2,3,7,8-TCDD</t>
  </si>
  <si>
    <t>57117-31-4</t>
  </si>
  <si>
    <t>1,2,3,7,8-PeCDD</t>
  </si>
  <si>
    <t>19408-74-3</t>
  </si>
  <si>
    <t>1,2,3,4,7,8-HxCDD</t>
  </si>
  <si>
    <t>39227-28-6</t>
  </si>
  <si>
    <t>1,2,3,6,7,8-HxCDD</t>
  </si>
  <si>
    <t>57653-85-7</t>
  </si>
  <si>
    <t>1,2,3,7,8,9-HxCDD</t>
  </si>
  <si>
    <t>1,2,3,4,6,7,8-HpCDD</t>
  </si>
  <si>
    <t>35822-46-9</t>
  </si>
  <si>
    <t>OCDD</t>
  </si>
  <si>
    <t>90-04-0</t>
  </si>
  <si>
    <t>2,3,7,8-TCDF</t>
  </si>
  <si>
    <t>1,2,3,7,8-PeCDF</t>
  </si>
  <si>
    <t>2,3,4,7,8-PeCDF</t>
  </si>
  <si>
    <t>58-90-2</t>
  </si>
  <si>
    <t>1,2,3,4,7,8-HxCDF</t>
  </si>
  <si>
    <t>1,2,3,6,7,8-HxCDF</t>
  </si>
  <si>
    <t>2,3,4,6,7,8-HxCDF</t>
  </si>
  <si>
    <t>60851-34-5</t>
  </si>
  <si>
    <t>1,2,3,7,8,9-HxCDF</t>
  </si>
  <si>
    <t>1,2,3,4,6,7,8-HpCDF</t>
  </si>
  <si>
    <t>1,2,3,4,7,8,9-HpCDF</t>
  </si>
  <si>
    <t>55673-89-7</t>
  </si>
  <si>
    <t>OCDF</t>
  </si>
  <si>
    <t>TEQ</t>
  </si>
  <si>
    <t>2037-26-5</t>
  </si>
  <si>
    <t>Descriptive Statistics: Cu</t>
  </si>
  <si>
    <t>Variable             N       Mean     Median     TrMean      StDev    SE Mean</t>
  </si>
  <si>
    <t>Variable       Minimum    Maximum         Q1         Q3</t>
  </si>
  <si>
    <t>LTA</t>
  </si>
  <si>
    <t>AMEL</t>
  </si>
  <si>
    <t>MDEL</t>
  </si>
  <si>
    <t>therefore, infeasible to comply with WQBELs</t>
  </si>
  <si>
    <t>All average, 95th, 99th percentiles are greater than LTA, AMEL, MDEL, respectively,</t>
  </si>
  <si>
    <t>Min conc</t>
  </si>
  <si>
    <r>
      <t xml:space="preserve">Nickel (303d listed) </t>
    </r>
    <r>
      <rPr>
        <vertAlign val="superscript"/>
        <sz val="8"/>
        <rFont val="Arial"/>
        <family val="2"/>
      </rPr>
      <t>b</t>
    </r>
  </si>
  <si>
    <t>NTR sw</t>
  </si>
  <si>
    <t>a</t>
  </si>
  <si>
    <t>Maximum MA value, kg/month</t>
  </si>
  <si>
    <t>99.87th %ile</t>
  </si>
  <si>
    <t>GTLT</t>
  </si>
  <si>
    <t>CTR</t>
  </si>
  <si>
    <t>Pollutant</t>
  </si>
  <si>
    <t>Value (ug/l)</t>
  </si>
  <si>
    <t>EPA 625 Method</t>
  </si>
  <si>
    <t>Cu                  39     11.872     10.800     11.599      3.407      0.546</t>
  </si>
  <si>
    <t>Cu               8.100     21.770      9.200     14.158</t>
  </si>
  <si>
    <t xml:space="preserve">Avg. =11.9 ug/L </t>
  </si>
  <si>
    <t>95th percentile = 17.6 ug/L</t>
  </si>
  <si>
    <t>99th percentile =21 ug/L</t>
  </si>
  <si>
    <t>Dioxins</t>
  </si>
  <si>
    <t>CTR HH</t>
  </si>
  <si>
    <t>CTR HH (pg/l)</t>
  </si>
  <si>
    <t>(more stringent than the previous permit limit of 37 ug/L)</t>
  </si>
  <si>
    <t xml:space="preserve">Interim limit = 99.87th percentile of the effluent data = 25 ug/L </t>
  </si>
  <si>
    <t>Ln(MA Mass Load)</t>
  </si>
  <si>
    <t>&lt;0.95</t>
  </si>
  <si>
    <t>&lt;0.00183</t>
  </si>
  <si>
    <t>&lt;0.00193</t>
  </si>
  <si>
    <t>Note: units are in ug/L except for Dioxin, which is in pg/L.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</si>
</sst>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#,##0.000"/>
    <numFmt numFmtId="168" formatCode="0.000000000"/>
    <numFmt numFmtId="169" formatCode="#,##0.000000000"/>
    <numFmt numFmtId="170" formatCode="0.00000"/>
    <numFmt numFmtId="171" formatCode="#,##0.00000"/>
    <numFmt numFmtId="172" formatCode="#,##0.0000"/>
    <numFmt numFmtId="173" formatCode="0.0000"/>
    <numFmt numFmtId="174" formatCode="0.000000"/>
    <numFmt numFmtId="175" formatCode="0.000E+00"/>
    <numFmt numFmtId="176" formatCode="mm/dd/yy"/>
    <numFmt numFmtId="177" formatCode="0.0000000"/>
    <numFmt numFmtId="178" formatCode="0.00000000000"/>
    <numFmt numFmtId="179" formatCode="mmmm\-yy"/>
    <numFmt numFmtId="180" formatCode="m/d/yy"/>
    <numFmt numFmtId="181" formatCode="0.00000000"/>
  </numFmts>
  <fonts count="3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Geneva"/>
      <family val="0"/>
    </font>
    <font>
      <sz val="10"/>
      <name val="Helv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Symbol"/>
      <family val="1"/>
    </font>
    <font>
      <i/>
      <vertAlign val="superscript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4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sz val="8"/>
      <color indexed="23"/>
      <name val="Arial"/>
      <family val="2"/>
    </font>
    <font>
      <sz val="11"/>
      <name val="Garamond"/>
      <family val="0"/>
    </font>
    <font>
      <b/>
      <sz val="10"/>
      <name val="Garamond"/>
      <family val="1"/>
    </font>
    <font>
      <sz val="10"/>
      <name val="Garamond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u val="single"/>
      <sz val="9"/>
      <name val="Arial"/>
      <family val="2"/>
    </font>
    <font>
      <sz val="8"/>
      <color indexed="53"/>
      <name val="Arial"/>
      <family val="2"/>
    </font>
    <font>
      <b/>
      <sz val="10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01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double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>
        <color indexed="63"/>
      </right>
      <top style="double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3" fillId="2" borderId="1" applyFill="0" applyBorder="0" applyProtection="0">
      <alignment horizont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596">
    <xf numFmtId="0" fontId="0" fillId="0" borderId="0" xfId="0" applyAlignment="1">
      <alignment/>
    </xf>
    <xf numFmtId="0" fontId="5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8" fillId="0" borderId="5" xfId="0" applyFont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8" fillId="0" borderId="14" xfId="0" applyFont="1" applyBorder="1" applyAlignment="1">
      <alignment horizontal="center" wrapText="1"/>
    </xf>
    <xf numFmtId="0" fontId="5" fillId="3" borderId="15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 wrapText="1"/>
    </xf>
    <xf numFmtId="0" fontId="12" fillId="0" borderId="10" xfId="0" applyFont="1" applyBorder="1" applyAlignment="1">
      <alignment horizontal="left"/>
    </xf>
    <xf numFmtId="164" fontId="17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left" wrapText="1"/>
    </xf>
    <xf numFmtId="2" fontId="17" fillId="0" borderId="10" xfId="0" applyNumberFormat="1" applyFont="1" applyBorder="1" applyAlignment="1">
      <alignment horizontal="right"/>
    </xf>
    <xf numFmtId="2" fontId="12" fillId="0" borderId="10" xfId="0" applyNumberFormat="1" applyFont="1" applyBorder="1" applyAlignment="1">
      <alignment horizontal="right"/>
    </xf>
    <xf numFmtId="0" fontId="17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8" xfId="0" applyFont="1" applyBorder="1" applyAlignment="1">
      <alignment/>
    </xf>
    <xf numFmtId="0" fontId="12" fillId="0" borderId="10" xfId="0" applyFont="1" applyBorder="1" applyAlignment="1">
      <alignment/>
    </xf>
    <xf numFmtId="165" fontId="12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12" fillId="0" borderId="0" xfId="0" applyFont="1" applyBorder="1" applyAlignment="1">
      <alignment/>
    </xf>
    <xf numFmtId="0" fontId="5" fillId="3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173" fontId="0" fillId="0" borderId="0" xfId="0" applyNumberFormat="1" applyAlignment="1">
      <alignment/>
    </xf>
    <xf numFmtId="0" fontId="18" fillId="0" borderId="0" xfId="0" applyFont="1" applyAlignment="1">
      <alignment/>
    </xf>
    <xf numFmtId="0" fontId="12" fillId="0" borderId="2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21" xfId="0" applyFont="1" applyBorder="1" applyAlignment="1">
      <alignment horizontal="left" wrapText="1"/>
    </xf>
    <xf numFmtId="0" fontId="9" fillId="0" borderId="22" xfId="0" applyFont="1" applyBorder="1" applyAlignment="1">
      <alignment wrapText="1"/>
    </xf>
    <xf numFmtId="0" fontId="12" fillId="0" borderId="23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12" fillId="0" borderId="28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30" xfId="0" applyFont="1" applyBorder="1" applyAlignment="1">
      <alignment/>
    </xf>
    <xf numFmtId="1" fontId="12" fillId="0" borderId="20" xfId="0" applyNumberFormat="1" applyFont="1" applyBorder="1" applyAlignment="1">
      <alignment horizontal="right"/>
    </xf>
    <xf numFmtId="0" fontId="12" fillId="0" borderId="30" xfId="0" applyFont="1" applyBorder="1" applyAlignment="1">
      <alignment/>
    </xf>
    <xf numFmtId="1" fontId="12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164" fontId="12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5" fontId="12" fillId="0" borderId="7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30" xfId="0" applyFont="1" applyBorder="1" applyAlignment="1">
      <alignment/>
    </xf>
    <xf numFmtId="1" fontId="12" fillId="0" borderId="31" xfId="0" applyNumberFormat="1" applyFont="1" applyBorder="1" applyAlignment="1">
      <alignment/>
    </xf>
    <xf numFmtId="0" fontId="9" fillId="0" borderId="30" xfId="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2" fontId="12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12" fillId="0" borderId="0" xfId="0" applyFont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0" fillId="0" borderId="0" xfId="0" applyFont="1" applyBorder="1" applyAlignment="1">
      <alignment/>
    </xf>
    <xf numFmtId="49" fontId="12" fillId="0" borderId="0" xfId="0" applyNumberFormat="1" applyFont="1" applyAlignment="1">
      <alignment/>
    </xf>
    <xf numFmtId="0" fontId="0" fillId="0" borderId="34" xfId="0" applyFont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9" fillId="0" borderId="0" xfId="0" applyNumberFormat="1" applyFont="1" applyAlignment="1">
      <alignment/>
    </xf>
    <xf numFmtId="3" fontId="0" fillId="0" borderId="3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167" fontId="0" fillId="0" borderId="35" xfId="0" applyNumberFormat="1" applyFont="1" applyFill="1" applyBorder="1" applyAlignment="1">
      <alignment horizontal="center"/>
    </xf>
    <xf numFmtId="169" fontId="0" fillId="0" borderId="35" xfId="0" applyNumberFormat="1" applyFont="1" applyFill="1" applyBorder="1" applyAlignment="1">
      <alignment horizontal="center"/>
    </xf>
    <xf numFmtId="166" fontId="0" fillId="0" borderId="35" xfId="0" applyNumberFormat="1" applyFont="1" applyFill="1" applyBorder="1" applyAlignment="1">
      <alignment horizontal="center"/>
    </xf>
    <xf numFmtId="171" fontId="0" fillId="0" borderId="35" xfId="0" applyNumberFormat="1" applyFont="1" applyFill="1" applyBorder="1" applyAlignment="1">
      <alignment horizontal="center"/>
    </xf>
    <xf numFmtId="172" fontId="0" fillId="0" borderId="35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9" fillId="0" borderId="10" xfId="0" applyFont="1" applyBorder="1" applyAlignment="1">
      <alignment/>
    </xf>
    <xf numFmtId="165" fontId="12" fillId="0" borderId="10" xfId="0" applyNumberFormat="1" applyFont="1" applyBorder="1" applyAlignment="1">
      <alignment horizontal="right"/>
    </xf>
    <xf numFmtId="170" fontId="12" fillId="0" borderId="10" xfId="0" applyNumberFormat="1" applyFont="1" applyBorder="1" applyAlignment="1">
      <alignment horizontal="right"/>
    </xf>
    <xf numFmtId="2" fontId="17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8" fillId="0" borderId="36" xfId="0" applyFont="1" applyBorder="1" applyAlignment="1">
      <alignment horizontal="center"/>
    </xf>
    <xf numFmtId="0" fontId="5" fillId="3" borderId="37" xfId="0" applyFont="1" applyFill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8" fillId="0" borderId="3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8" fillId="0" borderId="41" xfId="0" applyFont="1" applyBorder="1" applyAlignment="1">
      <alignment horizontal="left" wrapText="1"/>
    </xf>
    <xf numFmtId="0" fontId="8" fillId="0" borderId="42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2" xfId="0" applyFont="1" applyFill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8" xfId="0" applyFont="1" applyBorder="1" applyAlignment="1">
      <alignment horizontal="left"/>
    </xf>
    <xf numFmtId="165" fontId="12" fillId="0" borderId="10" xfId="0" applyNumberFormat="1" applyFont="1" applyBorder="1" applyAlignment="1">
      <alignment horizontal="center" wrapText="1"/>
    </xf>
    <xf numFmtId="0" fontId="12" fillId="0" borderId="8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Border="1" applyAlignment="1">
      <alignment horizontal="left"/>
    </xf>
    <xf numFmtId="1" fontId="12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12" fillId="5" borderId="10" xfId="0" applyFont="1" applyFill="1" applyBorder="1" applyAlignment="1">
      <alignment horizontal="left"/>
    </xf>
    <xf numFmtId="1" fontId="12" fillId="0" borderId="10" xfId="0" applyNumberFormat="1" applyFont="1" applyBorder="1" applyAlignment="1">
      <alignment horizontal="right"/>
    </xf>
    <xf numFmtId="171" fontId="0" fillId="0" borderId="44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165" fontId="12" fillId="0" borderId="9" xfId="0" applyNumberFormat="1" applyFont="1" applyBorder="1" applyAlignment="1">
      <alignment/>
    </xf>
    <xf numFmtId="0" fontId="12" fillId="0" borderId="45" xfId="0" applyFont="1" applyFill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19" fillId="6" borderId="48" xfId="0" applyFont="1" applyFill="1" applyBorder="1" applyAlignment="1">
      <alignment horizontal="center" wrapText="1"/>
    </xf>
    <xf numFmtId="0" fontId="12" fillId="6" borderId="48" xfId="0" applyFont="1" applyFill="1" applyBorder="1" applyAlignment="1">
      <alignment horizontal="center"/>
    </xf>
    <xf numFmtId="0" fontId="12" fillId="6" borderId="17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left"/>
    </xf>
    <xf numFmtId="0" fontId="5" fillId="7" borderId="49" xfId="0" applyFont="1" applyFill="1" applyBorder="1" applyAlignment="1">
      <alignment horizontal="left"/>
    </xf>
    <xf numFmtId="0" fontId="5" fillId="7" borderId="15" xfId="0" applyFont="1" applyFill="1" applyBorder="1" applyAlignment="1">
      <alignment horizontal="left"/>
    </xf>
    <xf numFmtId="0" fontId="5" fillId="7" borderId="13" xfId="0" applyFont="1" applyFill="1" applyBorder="1" applyAlignment="1">
      <alignment horizontal="left"/>
    </xf>
    <xf numFmtId="1" fontId="12" fillId="0" borderId="50" xfId="0" applyNumberFormat="1" applyFont="1" applyBorder="1" applyAlignment="1">
      <alignment horizontal="right" wrapText="1"/>
    </xf>
    <xf numFmtId="0" fontId="12" fillId="0" borderId="51" xfId="0" applyFont="1" applyBorder="1" applyAlignment="1">
      <alignment/>
    </xf>
    <xf numFmtId="1" fontId="12" fillId="0" borderId="52" xfId="0" applyNumberFormat="1" applyFont="1" applyBorder="1" applyAlignment="1">
      <alignment horizontal="right"/>
    </xf>
    <xf numFmtId="0" fontId="12" fillId="0" borderId="8" xfId="0" applyFont="1" applyBorder="1" applyAlignment="1">
      <alignment/>
    </xf>
    <xf numFmtId="1" fontId="12" fillId="0" borderId="52" xfId="0" applyNumberFormat="1" applyFont="1" applyBorder="1" applyAlignment="1">
      <alignment horizontal="right" wrapText="1"/>
    </xf>
    <xf numFmtId="0" fontId="12" fillId="0" borderId="8" xfId="0" applyFont="1" applyBorder="1" applyAlignment="1">
      <alignment/>
    </xf>
    <xf numFmtId="0" fontId="12" fillId="0" borderId="8" xfId="0" applyFont="1" applyFill="1" applyBorder="1" applyAlignment="1">
      <alignment/>
    </xf>
    <xf numFmtId="1" fontId="19" fillId="0" borderId="52" xfId="0" applyNumberFormat="1" applyFont="1" applyBorder="1" applyAlignment="1">
      <alignment horizontal="right"/>
    </xf>
    <xf numFmtId="0" fontId="12" fillId="0" borderId="53" xfId="0" applyFont="1" applyBorder="1" applyAlignment="1">
      <alignment/>
    </xf>
    <xf numFmtId="0" fontId="12" fillId="0" borderId="54" xfId="0" applyFont="1" applyBorder="1" applyAlignment="1">
      <alignment/>
    </xf>
    <xf numFmtId="1" fontId="12" fillId="0" borderId="10" xfId="0" applyNumberFormat="1" applyFont="1" applyBorder="1" applyAlignment="1">
      <alignment/>
    </xf>
    <xf numFmtId="164" fontId="17" fillId="0" borderId="10" xfId="0" applyNumberFormat="1" applyFont="1" applyBorder="1" applyAlignment="1">
      <alignment wrapText="1"/>
    </xf>
    <xf numFmtId="164" fontId="12" fillId="0" borderId="10" xfId="0" applyNumberFormat="1" applyFont="1" applyBorder="1" applyAlignment="1">
      <alignment/>
    </xf>
    <xf numFmtId="164" fontId="12" fillId="0" borderId="7" xfId="0" applyNumberFormat="1" applyFont="1" applyBorder="1" applyAlignment="1">
      <alignment/>
    </xf>
    <xf numFmtId="1" fontId="12" fillId="0" borderId="7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/>
    </xf>
    <xf numFmtId="0" fontId="19" fillId="0" borderId="7" xfId="0" applyFont="1" applyBorder="1" applyAlignment="1">
      <alignment/>
    </xf>
    <xf numFmtId="0" fontId="19" fillId="0" borderId="10" xfId="0" applyFont="1" applyBorder="1" applyAlignment="1">
      <alignment/>
    </xf>
    <xf numFmtId="0" fontId="12" fillId="0" borderId="41" xfId="0" applyFont="1" applyBorder="1" applyAlignment="1">
      <alignment/>
    </xf>
    <xf numFmtId="0" fontId="12" fillId="0" borderId="55" xfId="0" applyFont="1" applyBorder="1" applyAlignment="1">
      <alignment/>
    </xf>
    <xf numFmtId="0" fontId="12" fillId="0" borderId="36" xfId="0" applyFont="1" applyBorder="1" applyAlignment="1">
      <alignment wrapText="1"/>
    </xf>
    <xf numFmtId="0" fontId="12" fillId="0" borderId="51" xfId="0" applyFont="1" applyBorder="1" applyAlignment="1">
      <alignment wrapText="1"/>
    </xf>
    <xf numFmtId="1" fontId="12" fillId="0" borderId="47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8" xfId="0" applyNumberFormat="1" applyFont="1" applyBorder="1" applyAlignment="1">
      <alignment/>
    </xf>
    <xf numFmtId="164" fontId="12" fillId="0" borderId="47" xfId="0" applyNumberFormat="1" applyFont="1" applyBorder="1" applyAlignment="1">
      <alignment/>
    </xf>
    <xf numFmtId="164" fontId="12" fillId="0" borderId="47" xfId="0" applyNumberFormat="1" applyFont="1" applyBorder="1" applyAlignment="1">
      <alignment/>
    </xf>
    <xf numFmtId="3" fontId="12" fillId="0" borderId="10" xfId="0" applyNumberFormat="1" applyFont="1" applyBorder="1" applyAlignment="1">
      <alignment wrapText="1"/>
    </xf>
    <xf numFmtId="3" fontId="12" fillId="0" borderId="8" xfId="0" applyNumberFormat="1" applyFont="1" applyBorder="1" applyAlignment="1">
      <alignment wrapText="1"/>
    </xf>
    <xf numFmtId="1" fontId="12" fillId="0" borderId="47" xfId="0" applyNumberFormat="1" applyFont="1" applyBorder="1" applyAlignment="1">
      <alignment/>
    </xf>
    <xf numFmtId="0" fontId="12" fillId="0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8" xfId="0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12" fillId="0" borderId="8" xfId="0" applyNumberFormat="1" applyFont="1" applyBorder="1" applyAlignment="1">
      <alignment wrapText="1"/>
    </xf>
    <xf numFmtId="165" fontId="12" fillId="0" borderId="47" xfId="0" applyNumberFormat="1" applyFont="1" applyBorder="1" applyAlignment="1">
      <alignment/>
    </xf>
    <xf numFmtId="164" fontId="12" fillId="0" borderId="10" xfId="0" applyNumberFormat="1" applyFont="1" applyBorder="1" applyAlignment="1">
      <alignment wrapText="1"/>
    </xf>
    <xf numFmtId="164" fontId="12" fillId="0" borderId="8" xfId="0" applyNumberFormat="1" applyFont="1" applyBorder="1" applyAlignment="1">
      <alignment wrapText="1"/>
    </xf>
    <xf numFmtId="0" fontId="0" fillId="0" borderId="47" xfId="0" applyBorder="1" applyAlignment="1">
      <alignment/>
    </xf>
    <xf numFmtId="0" fontId="12" fillId="0" borderId="47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8" xfId="0" applyFont="1" applyBorder="1" applyAlignment="1">
      <alignment/>
    </xf>
    <xf numFmtId="165" fontId="12" fillId="0" borderId="24" xfId="0" applyNumberFormat="1" applyFont="1" applyBorder="1" applyAlignment="1">
      <alignment/>
    </xf>
    <xf numFmtId="1" fontId="17" fillId="0" borderId="10" xfId="0" applyNumberFormat="1" applyFont="1" applyBorder="1" applyAlignment="1">
      <alignment/>
    </xf>
    <xf numFmtId="1" fontId="17" fillId="0" borderId="10" xfId="0" applyNumberFormat="1" applyFont="1" applyBorder="1" applyAlignment="1">
      <alignment wrapText="1"/>
    </xf>
    <xf numFmtId="0" fontId="12" fillId="0" borderId="7" xfId="0" applyFont="1" applyBorder="1" applyAlignment="1">
      <alignment wrapText="1"/>
    </xf>
    <xf numFmtId="1" fontId="12" fillId="0" borderId="7" xfId="0" applyNumberFormat="1" applyFont="1" applyBorder="1" applyAlignment="1">
      <alignment wrapText="1"/>
    </xf>
    <xf numFmtId="2" fontId="12" fillId="0" borderId="7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12" fillId="0" borderId="41" xfId="0" applyFont="1" applyBorder="1" applyAlignment="1">
      <alignment horizontal="center" wrapText="1"/>
    </xf>
    <xf numFmtId="0" fontId="12" fillId="0" borderId="40" xfId="0" applyFont="1" applyBorder="1" applyAlignment="1">
      <alignment horizontal="center" wrapText="1"/>
    </xf>
    <xf numFmtId="0" fontId="12" fillId="0" borderId="56" xfId="0" applyFont="1" applyBorder="1" applyAlignment="1">
      <alignment horizontal="center" wrapText="1"/>
    </xf>
    <xf numFmtId="0" fontId="12" fillId="0" borderId="54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22" fillId="0" borderId="0" xfId="0" applyFont="1" applyAlignment="1">
      <alignment/>
    </xf>
    <xf numFmtId="168" fontId="12" fillId="0" borderId="10" xfId="0" applyNumberFormat="1" applyFont="1" applyBorder="1" applyAlignment="1">
      <alignment horizontal="right"/>
    </xf>
    <xf numFmtId="0" fontId="12" fillId="8" borderId="10" xfId="0" applyFont="1" applyFill="1" applyBorder="1" applyAlignment="1">
      <alignment horizontal="left"/>
    </xf>
    <xf numFmtId="168" fontId="17" fillId="0" borderId="10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165" fontId="12" fillId="0" borderId="10" xfId="0" applyNumberFormat="1" applyFont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1" fontId="12" fillId="0" borderId="10" xfId="0" applyNumberFormat="1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165" fontId="12" fillId="0" borderId="10" xfId="0" applyNumberFormat="1" applyFont="1" applyFill="1" applyBorder="1" applyAlignment="1">
      <alignment horizontal="center"/>
    </xf>
    <xf numFmtId="11" fontId="12" fillId="0" borderId="17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5" fontId="12" fillId="0" borderId="10" xfId="0" applyNumberFormat="1" applyFont="1" applyFill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center"/>
    </xf>
    <xf numFmtId="175" fontId="12" fillId="0" borderId="57" xfId="23" applyNumberFormat="1" applyFont="1" applyFill="1" applyBorder="1" applyAlignment="1">
      <alignment horizontal="center"/>
      <protection/>
    </xf>
    <xf numFmtId="0" fontId="12" fillId="0" borderId="0" xfId="0" applyFont="1" applyFill="1" applyAlignment="1">
      <alignment/>
    </xf>
    <xf numFmtId="165" fontId="12" fillId="0" borderId="18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0" fontId="9" fillId="0" borderId="58" xfId="0" applyFont="1" applyBorder="1" applyAlignment="1">
      <alignment horizontal="left"/>
    </xf>
    <xf numFmtId="0" fontId="12" fillId="0" borderId="59" xfId="0" applyFont="1" applyBorder="1" applyAlignment="1">
      <alignment wrapText="1"/>
    </xf>
    <xf numFmtId="164" fontId="12" fillId="0" borderId="1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173" fontId="12" fillId="0" borderId="10" xfId="0" applyNumberFormat="1" applyFont="1" applyBorder="1" applyAlignment="1">
      <alignment horizontal="right"/>
    </xf>
    <xf numFmtId="173" fontId="12" fillId="0" borderId="10" xfId="0" applyNumberFormat="1" applyFont="1" applyFill="1" applyBorder="1" applyAlignment="1">
      <alignment horizontal="right"/>
    </xf>
    <xf numFmtId="1" fontId="17" fillId="0" borderId="10" xfId="0" applyNumberFormat="1" applyFont="1" applyBorder="1" applyAlignment="1">
      <alignment horizontal="right"/>
    </xf>
    <xf numFmtId="178" fontId="12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14" fontId="13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5" fillId="0" borderId="0" xfId="25" applyFont="1">
      <alignment/>
      <protection/>
    </xf>
    <xf numFmtId="0" fontId="26" fillId="0" borderId="0" xfId="25" applyFont="1">
      <alignment/>
      <protection/>
    </xf>
    <xf numFmtId="14" fontId="26" fillId="0" borderId="0" xfId="25" applyNumberFormat="1" applyFont="1">
      <alignment/>
      <protection/>
    </xf>
    <xf numFmtId="2" fontId="26" fillId="0" borderId="0" xfId="25" applyNumberFormat="1" applyFont="1">
      <alignment/>
      <protection/>
    </xf>
    <xf numFmtId="165" fontId="26" fillId="0" borderId="0" xfId="25" applyNumberFormat="1" applyFont="1">
      <alignment/>
      <protection/>
    </xf>
    <xf numFmtId="0" fontId="27" fillId="0" borderId="0" xfId="26" applyFont="1">
      <alignment/>
      <protection/>
    </xf>
    <xf numFmtId="0" fontId="28" fillId="0" borderId="0" xfId="26" applyFont="1">
      <alignment/>
      <protection/>
    </xf>
    <xf numFmtId="165" fontId="1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0" xfId="0" applyFont="1" applyAlignment="1">
      <alignment horizontal="center"/>
    </xf>
    <xf numFmtId="0" fontId="9" fillId="0" borderId="18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0" fillId="0" borderId="0" xfId="0" applyNumberFormat="1" applyAlignment="1">
      <alignment wrapText="1"/>
    </xf>
    <xf numFmtId="0" fontId="30" fillId="0" borderId="0" xfId="0" applyFont="1" applyAlignment="1">
      <alignment/>
    </xf>
    <xf numFmtId="165" fontId="31" fillId="0" borderId="10" xfId="0" applyNumberFormat="1" applyFont="1" applyBorder="1" applyAlignment="1">
      <alignment horizontal="right"/>
    </xf>
    <xf numFmtId="2" fontId="31" fillId="0" borderId="10" xfId="0" applyNumberFormat="1" applyFont="1" applyBorder="1" applyAlignment="1">
      <alignment horizontal="right"/>
    </xf>
    <xf numFmtId="165" fontId="31" fillId="0" borderId="10" xfId="0" applyNumberFormat="1" applyFont="1" applyFill="1" applyBorder="1" applyAlignment="1">
      <alignment horizontal="right"/>
    </xf>
    <xf numFmtId="2" fontId="31" fillId="0" borderId="10" xfId="0" applyNumberFormat="1" applyFont="1" applyFill="1" applyBorder="1" applyAlignment="1">
      <alignment horizontal="right"/>
    </xf>
    <xf numFmtId="0" fontId="31" fillId="0" borderId="10" xfId="0" applyFont="1" applyFill="1" applyBorder="1" applyAlignment="1">
      <alignment horizontal="right"/>
    </xf>
    <xf numFmtId="170" fontId="31" fillId="0" borderId="10" xfId="0" applyNumberFormat="1" applyFont="1" applyBorder="1" applyAlignment="1">
      <alignment horizontal="right"/>
    </xf>
    <xf numFmtId="1" fontId="31" fillId="0" borderId="10" xfId="0" applyNumberFormat="1" applyFont="1" applyBorder="1" applyAlignment="1">
      <alignment horizontal="right"/>
    </xf>
    <xf numFmtId="0" fontId="31" fillId="0" borderId="10" xfId="0" applyFont="1" applyBorder="1" applyAlignment="1">
      <alignment horizontal="right"/>
    </xf>
    <xf numFmtId="164" fontId="12" fillId="0" borderId="45" xfId="0" applyNumberFormat="1" applyFont="1" applyBorder="1" applyAlignment="1">
      <alignment horizontal="center"/>
    </xf>
    <xf numFmtId="2" fontId="12" fillId="0" borderId="45" xfId="0" applyNumberFormat="1" applyFont="1" applyBorder="1" applyAlignment="1">
      <alignment horizontal="center"/>
    </xf>
    <xf numFmtId="1" fontId="12" fillId="0" borderId="45" xfId="0" applyNumberFormat="1" applyFont="1" applyBorder="1" applyAlignment="1">
      <alignment horizontal="center"/>
    </xf>
    <xf numFmtId="178" fontId="12" fillId="0" borderId="45" xfId="0" applyNumberFormat="1" applyFont="1" applyBorder="1" applyAlignment="1">
      <alignment horizontal="center"/>
    </xf>
    <xf numFmtId="164" fontId="9" fillId="0" borderId="45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165" fontId="9" fillId="0" borderId="45" xfId="0" applyNumberFormat="1" applyFont="1" applyBorder="1" applyAlignment="1">
      <alignment horizontal="center"/>
    </xf>
    <xf numFmtId="14" fontId="22" fillId="0" borderId="0" xfId="24" applyNumberFormat="1" applyFont="1" applyFill="1" applyBorder="1">
      <alignment/>
      <protection/>
    </xf>
    <xf numFmtId="14" fontId="22" fillId="0" borderId="0" xfId="24" applyNumberFormat="1" applyFont="1" applyBorder="1">
      <alignment/>
      <protection/>
    </xf>
    <xf numFmtId="1" fontId="22" fillId="0" borderId="0" xfId="24" applyNumberFormat="1" applyFont="1" applyFill="1" applyBorder="1">
      <alignment/>
      <protection/>
    </xf>
    <xf numFmtId="2" fontId="22" fillId="0" borderId="0" xfId="24" applyNumberFormat="1" applyFont="1" applyBorder="1">
      <alignment/>
      <protection/>
    </xf>
    <xf numFmtId="173" fontId="12" fillId="0" borderId="10" xfId="0" applyNumberFormat="1" applyFont="1" applyFill="1" applyBorder="1" applyAlignment="1">
      <alignment horizontal="center"/>
    </xf>
    <xf numFmtId="181" fontId="12" fillId="0" borderId="10" xfId="0" applyNumberFormat="1" applyFont="1" applyFill="1" applyBorder="1" applyAlignment="1">
      <alignment horizontal="center"/>
    </xf>
    <xf numFmtId="0" fontId="26" fillId="0" borderId="0" xfId="27" applyFont="1">
      <alignment/>
      <protection/>
    </xf>
    <xf numFmtId="14" fontId="13" fillId="0" borderId="0" xfId="0" applyNumberFormat="1" applyFont="1" applyBorder="1" applyAlignment="1">
      <alignment/>
    </xf>
    <xf numFmtId="0" fontId="30" fillId="0" borderId="10" xfId="0" applyFont="1" applyBorder="1" applyAlignment="1">
      <alignment/>
    </xf>
    <xf numFmtId="0" fontId="12" fillId="0" borderId="10" xfId="0" applyNumberFormat="1" applyFont="1" applyFill="1" applyBorder="1" applyAlignment="1">
      <alignment wrapText="1"/>
    </xf>
    <xf numFmtId="180" fontId="12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180" fontId="12" fillId="0" borderId="0" xfId="0" applyNumberFormat="1" applyFont="1" applyFill="1" applyAlignment="1">
      <alignment/>
    </xf>
    <xf numFmtId="14" fontId="12" fillId="0" borderId="10" xfId="0" applyNumberFormat="1" applyFont="1" applyBorder="1" applyAlignment="1">
      <alignment/>
    </xf>
    <xf numFmtId="173" fontId="12" fillId="0" borderId="10" xfId="0" applyNumberFormat="1" applyFont="1" applyFill="1" applyBorder="1" applyAlignment="1">
      <alignment/>
    </xf>
    <xf numFmtId="173" fontId="30" fillId="0" borderId="10" xfId="0" applyNumberFormat="1" applyFont="1" applyFill="1" applyBorder="1" applyAlignment="1">
      <alignment/>
    </xf>
    <xf numFmtId="0" fontId="9" fillId="0" borderId="0" xfId="27" applyFont="1">
      <alignment/>
      <protection/>
    </xf>
    <xf numFmtId="0" fontId="12" fillId="0" borderId="0" xfId="27" applyFont="1">
      <alignment/>
      <protection/>
    </xf>
    <xf numFmtId="0" fontId="12" fillId="0" borderId="10" xfId="27" applyFont="1" applyBorder="1">
      <alignment/>
      <protection/>
    </xf>
    <xf numFmtId="0" fontId="12" fillId="0" borderId="10" xfId="27" applyFont="1" applyFill="1" applyBorder="1">
      <alignment/>
      <protection/>
    </xf>
    <xf numFmtId="14" fontId="12" fillId="0" borderId="10" xfId="27" applyNumberFormat="1" applyFont="1" applyBorder="1">
      <alignment/>
      <protection/>
    </xf>
    <xf numFmtId="173" fontId="13" fillId="0" borderId="0" xfId="0" applyNumberFormat="1" applyFont="1" applyBorder="1" applyAlignment="1">
      <alignment/>
    </xf>
    <xf numFmtId="173" fontId="22" fillId="0" borderId="10" xfId="0" applyNumberFormat="1" applyFont="1" applyFill="1" applyBorder="1" applyAlignment="1">
      <alignment horizontal="center" wrapText="1"/>
    </xf>
    <xf numFmtId="173" fontId="13" fillId="0" borderId="10" xfId="0" applyNumberFormat="1" applyFont="1" applyBorder="1" applyAlignment="1">
      <alignment horizontal="center"/>
    </xf>
    <xf numFmtId="173" fontId="13" fillId="0" borderId="10" xfId="0" applyNumberFormat="1" applyFont="1" applyBorder="1" applyAlignment="1">
      <alignment/>
    </xf>
    <xf numFmtId="173" fontId="13" fillId="0" borderId="8" xfId="0" applyNumberFormat="1" applyFont="1" applyBorder="1" applyAlignment="1">
      <alignment/>
    </xf>
    <xf numFmtId="173" fontId="13" fillId="0" borderId="18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4" fontId="22" fillId="0" borderId="0" xfId="0" applyNumberFormat="1" applyFont="1" applyBorder="1" applyAlignment="1">
      <alignment/>
    </xf>
    <xf numFmtId="0" fontId="22" fillId="0" borderId="0" xfId="24" applyFont="1" applyBorder="1">
      <alignment/>
      <protection/>
    </xf>
    <xf numFmtId="0" fontId="12" fillId="0" borderId="60" xfId="0" applyFont="1" applyBorder="1" applyAlignment="1">
      <alignment/>
    </xf>
    <xf numFmtId="0" fontId="12" fillId="0" borderId="61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12" fillId="0" borderId="20" xfId="0" applyFont="1" applyBorder="1" applyAlignment="1">
      <alignment/>
    </xf>
    <xf numFmtId="0" fontId="0" fillId="0" borderId="63" xfId="0" applyBorder="1" applyAlignment="1">
      <alignment horizontal="center"/>
    </xf>
    <xf numFmtId="0" fontId="12" fillId="0" borderId="64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65" xfId="0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5" fillId="5" borderId="66" xfId="0" applyFont="1" applyFill="1" applyBorder="1" applyAlignment="1">
      <alignment/>
    </xf>
    <xf numFmtId="0" fontId="13" fillId="0" borderId="0" xfId="0" applyFont="1" applyBorder="1" applyAlignment="1">
      <alignment horizontal="left"/>
    </xf>
    <xf numFmtId="0" fontId="13" fillId="9" borderId="60" xfId="0" applyFont="1" applyFill="1" applyBorder="1" applyAlignment="1">
      <alignment horizontal="left"/>
    </xf>
    <xf numFmtId="0" fontId="12" fillId="9" borderId="61" xfId="0" applyFont="1" applyFill="1" applyBorder="1" applyAlignment="1">
      <alignment horizontal="center"/>
    </xf>
    <xf numFmtId="0" fontId="0" fillId="9" borderId="61" xfId="0" applyFill="1" applyBorder="1" applyAlignment="1">
      <alignment horizontal="center"/>
    </xf>
    <xf numFmtId="0" fontId="13" fillId="9" borderId="61" xfId="0" applyFont="1" applyFill="1" applyBorder="1" applyAlignment="1">
      <alignment horizontal="center"/>
    </xf>
    <xf numFmtId="0" fontId="13" fillId="9" borderId="62" xfId="0" applyFont="1" applyFill="1" applyBorder="1" applyAlignment="1">
      <alignment horizontal="center"/>
    </xf>
    <xf numFmtId="0" fontId="13" fillId="9" borderId="20" xfId="0" applyFont="1" applyFill="1" applyBorder="1" applyAlignment="1">
      <alignment horizontal="left"/>
    </xf>
    <xf numFmtId="0" fontId="12" fillId="9" borderId="0" xfId="0" applyFont="1" applyFill="1" applyBorder="1" applyAlignment="1">
      <alignment/>
    </xf>
    <xf numFmtId="0" fontId="0" fillId="9" borderId="0" xfId="0" applyFill="1" applyBorder="1" applyAlignment="1">
      <alignment horizontal="center"/>
    </xf>
    <xf numFmtId="0" fontId="13" fillId="9" borderId="0" xfId="0" applyFont="1" applyFill="1" applyBorder="1" applyAlignment="1">
      <alignment horizontal="center"/>
    </xf>
    <xf numFmtId="0" fontId="13" fillId="9" borderId="63" xfId="0" applyFont="1" applyFill="1" applyBorder="1" applyAlignment="1">
      <alignment horizontal="center"/>
    </xf>
    <xf numFmtId="0" fontId="13" fillId="9" borderId="64" xfId="0" applyFont="1" applyFill="1" applyBorder="1" applyAlignment="1">
      <alignment/>
    </xf>
    <xf numFmtId="0" fontId="12" fillId="9" borderId="32" xfId="0" applyFont="1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13" fillId="9" borderId="32" xfId="0" applyFont="1" applyFill="1" applyBorder="1" applyAlignment="1">
      <alignment horizontal="center"/>
    </xf>
    <xf numFmtId="0" fontId="13" fillId="9" borderId="6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/>
    </xf>
    <xf numFmtId="174" fontId="12" fillId="0" borderId="0" xfId="0" applyNumberFormat="1" applyFont="1" applyFill="1" applyBorder="1" applyAlignment="1">
      <alignment/>
    </xf>
    <xf numFmtId="177" fontId="12" fillId="0" borderId="0" xfId="0" applyNumberFormat="1" applyFont="1" applyFill="1" applyBorder="1" applyAlignment="1">
      <alignment/>
    </xf>
    <xf numFmtId="2" fontId="9" fillId="0" borderId="1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11" fontId="12" fillId="0" borderId="10" xfId="0" applyNumberFormat="1" applyFont="1" applyBorder="1" applyAlignment="1">
      <alignment horizontal="center"/>
    </xf>
    <xf numFmtId="170" fontId="12" fillId="0" borderId="10" xfId="0" applyNumberFormat="1" applyFont="1" applyFill="1" applyBorder="1" applyAlignment="1">
      <alignment horizontal="right"/>
    </xf>
    <xf numFmtId="164" fontId="17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174" fontId="12" fillId="0" borderId="10" xfId="0" applyNumberFormat="1" applyFont="1" applyFill="1" applyBorder="1" applyAlignment="1">
      <alignment horizontal="right"/>
    </xf>
    <xf numFmtId="2" fontId="12" fillId="0" borderId="10" xfId="0" applyNumberFormat="1" applyFont="1" applyFill="1" applyBorder="1" applyAlignment="1">
      <alignment horizontal="right"/>
    </xf>
    <xf numFmtId="0" fontId="12" fillId="0" borderId="59" xfId="0" applyFont="1" applyFill="1" applyBorder="1" applyAlignment="1">
      <alignment horizontal="center" wrapText="1"/>
    </xf>
    <xf numFmtId="0" fontId="12" fillId="0" borderId="59" xfId="0" applyFont="1" applyBorder="1" applyAlignment="1">
      <alignment horizontal="center" wrapText="1"/>
    </xf>
    <xf numFmtId="0" fontId="9" fillId="0" borderId="45" xfId="0" applyFont="1" applyFill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5" fontId="12" fillId="0" borderId="45" xfId="0" applyNumberFormat="1" applyFont="1" applyBorder="1" applyAlignment="1">
      <alignment horizontal="center"/>
    </xf>
    <xf numFmtId="2" fontId="12" fillId="0" borderId="45" xfId="0" applyNumberFormat="1" applyFont="1" applyFill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170" fontId="31" fillId="0" borderId="10" xfId="0" applyNumberFormat="1" applyFont="1" applyFill="1" applyBorder="1" applyAlignment="1">
      <alignment horizontal="right"/>
    </xf>
    <xf numFmtId="164" fontId="31" fillId="0" borderId="10" xfId="0" applyNumberFormat="1" applyFont="1" applyBorder="1" applyAlignment="1">
      <alignment horizontal="right"/>
    </xf>
    <xf numFmtId="0" fontId="31" fillId="0" borderId="10" xfId="0" applyFont="1" applyBorder="1" applyAlignment="1">
      <alignment horizontal="right" wrapText="1"/>
    </xf>
    <xf numFmtId="0" fontId="33" fillId="0" borderId="10" xfId="0" applyFont="1" applyBorder="1" applyAlignment="1">
      <alignment/>
    </xf>
    <xf numFmtId="0" fontId="34" fillId="0" borderId="17" xfId="0" applyFont="1" applyFill="1" applyBorder="1" applyAlignment="1">
      <alignment horizontal="left"/>
    </xf>
    <xf numFmtId="174" fontId="12" fillId="0" borderId="10" xfId="0" applyNumberFormat="1" applyFont="1" applyBorder="1" applyAlignment="1">
      <alignment/>
    </xf>
    <xf numFmtId="0" fontId="22" fillId="0" borderId="67" xfId="0" applyFont="1" applyBorder="1" applyAlignment="1">
      <alignment horizontal="center"/>
    </xf>
    <xf numFmtId="14" fontId="13" fillId="0" borderId="68" xfId="0" applyNumberFormat="1" applyFont="1" applyBorder="1" applyAlignment="1">
      <alignment/>
    </xf>
    <xf numFmtId="14" fontId="22" fillId="0" borderId="68" xfId="0" applyNumberFormat="1" applyFont="1" applyBorder="1" applyAlignment="1">
      <alignment/>
    </xf>
    <xf numFmtId="0" fontId="13" fillId="0" borderId="68" xfId="0" applyFont="1" applyBorder="1" applyAlignment="1">
      <alignment/>
    </xf>
    <xf numFmtId="0" fontId="22" fillId="0" borderId="68" xfId="24" applyFont="1" applyBorder="1">
      <alignment/>
      <protection/>
    </xf>
    <xf numFmtId="14" fontId="22" fillId="0" borderId="68" xfId="24" applyNumberFormat="1" applyFont="1" applyFill="1" applyBorder="1">
      <alignment/>
      <protection/>
    </xf>
    <xf numFmtId="14" fontId="22" fillId="0" borderId="68" xfId="24" applyNumberFormat="1" applyFont="1" applyBorder="1">
      <alignment/>
      <protection/>
    </xf>
    <xf numFmtId="1" fontId="22" fillId="0" borderId="68" xfId="24" applyNumberFormat="1" applyFont="1" applyFill="1" applyBorder="1">
      <alignment/>
      <protection/>
    </xf>
    <xf numFmtId="2" fontId="22" fillId="0" borderId="68" xfId="24" applyNumberFormat="1" applyFont="1" applyBorder="1">
      <alignment/>
      <protection/>
    </xf>
    <xf numFmtId="14" fontId="22" fillId="0" borderId="69" xfId="24" applyNumberFormat="1" applyFont="1" applyBorder="1">
      <alignment/>
      <protection/>
    </xf>
    <xf numFmtId="0" fontId="13" fillId="0" borderId="70" xfId="0" applyFont="1" applyBorder="1" applyAlignment="1">
      <alignment horizontal="center"/>
    </xf>
    <xf numFmtId="0" fontId="22" fillId="0" borderId="71" xfId="0" applyFont="1" applyBorder="1" applyAlignment="1">
      <alignment horizontal="center"/>
    </xf>
    <xf numFmtId="0" fontId="22" fillId="0" borderId="72" xfId="0" applyFont="1" applyBorder="1" applyAlignment="1">
      <alignment horizontal="center"/>
    </xf>
    <xf numFmtId="0" fontId="13" fillId="0" borderId="73" xfId="0" applyFont="1" applyBorder="1" applyAlignment="1">
      <alignment/>
    </xf>
    <xf numFmtId="0" fontId="13" fillId="0" borderId="74" xfId="0" applyFont="1" applyBorder="1" applyAlignment="1">
      <alignment/>
    </xf>
    <xf numFmtId="0" fontId="13" fillId="0" borderId="75" xfId="0" applyFont="1" applyBorder="1" applyAlignment="1">
      <alignment horizontal="center"/>
    </xf>
    <xf numFmtId="0" fontId="13" fillId="0" borderId="73" xfId="0" applyFont="1" applyBorder="1" applyAlignment="1">
      <alignment horizontal="center"/>
    </xf>
    <xf numFmtId="0" fontId="13" fillId="0" borderId="74" xfId="0" applyFont="1" applyBorder="1" applyAlignment="1">
      <alignment horizontal="center"/>
    </xf>
    <xf numFmtId="0" fontId="13" fillId="0" borderId="75" xfId="0" applyFont="1" applyBorder="1" applyAlignment="1">
      <alignment/>
    </xf>
    <xf numFmtId="0" fontId="22" fillId="0" borderId="73" xfId="0" applyFont="1" applyBorder="1" applyAlignment="1">
      <alignment horizontal="center"/>
    </xf>
    <xf numFmtId="0" fontId="22" fillId="0" borderId="74" xfId="0" applyFont="1" applyBorder="1" applyAlignment="1">
      <alignment horizontal="center"/>
    </xf>
    <xf numFmtId="0" fontId="22" fillId="0" borderId="75" xfId="0" applyFont="1" applyBorder="1" applyAlignment="1">
      <alignment horizontal="center"/>
    </xf>
    <xf numFmtId="0" fontId="13" fillId="0" borderId="73" xfId="24" applyFont="1" applyBorder="1" applyAlignment="1">
      <alignment horizontal="center"/>
      <protection/>
    </xf>
    <xf numFmtId="1" fontId="13" fillId="0" borderId="73" xfId="24" applyNumberFormat="1" applyFont="1" applyFill="1" applyBorder="1" applyAlignment="1">
      <alignment horizontal="center"/>
      <protection/>
    </xf>
    <xf numFmtId="165" fontId="13" fillId="0" borderId="73" xfId="24" applyNumberFormat="1" applyFont="1" applyBorder="1" applyAlignment="1">
      <alignment horizontal="center"/>
      <protection/>
    </xf>
    <xf numFmtId="165" fontId="13" fillId="0" borderId="73" xfId="0" applyNumberFormat="1" applyFont="1" applyBorder="1" applyAlignment="1">
      <alignment horizontal="center"/>
    </xf>
    <xf numFmtId="0" fontId="13" fillId="0" borderId="76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78" xfId="0" applyFont="1" applyBorder="1" applyAlignment="1">
      <alignment/>
    </xf>
    <xf numFmtId="173" fontId="13" fillId="0" borderId="74" xfId="0" applyNumberFormat="1" applyFont="1" applyBorder="1" applyAlignment="1">
      <alignment/>
    </xf>
    <xf numFmtId="173" fontId="22" fillId="0" borderId="74" xfId="0" applyNumberFormat="1" applyFont="1" applyBorder="1" applyAlignment="1">
      <alignment/>
    </xf>
    <xf numFmtId="0" fontId="13" fillId="0" borderId="74" xfId="0" applyFont="1" applyBorder="1" applyAlignment="1" quotePrefix="1">
      <alignment horizontal="center"/>
    </xf>
    <xf numFmtId="0" fontId="22" fillId="0" borderId="74" xfId="0" applyFont="1" applyBorder="1" applyAlignment="1">
      <alignment/>
    </xf>
    <xf numFmtId="0" fontId="13" fillId="0" borderId="70" xfId="0" applyFont="1" applyBorder="1" applyAlignment="1">
      <alignment horizontal="left"/>
    </xf>
    <xf numFmtId="0" fontId="13" fillId="0" borderId="73" xfId="0" applyFont="1" applyBorder="1" applyAlignment="1">
      <alignment horizontal="left"/>
    </xf>
    <xf numFmtId="0" fontId="13" fillId="0" borderId="74" xfId="0" applyFont="1" applyBorder="1" applyAlignment="1">
      <alignment horizontal="right"/>
    </xf>
    <xf numFmtId="0" fontId="22" fillId="0" borderId="74" xfId="0" applyFont="1" applyBorder="1" applyAlignment="1">
      <alignment horizontal="right"/>
    </xf>
    <xf numFmtId="0" fontId="22" fillId="0" borderId="73" xfId="0" applyFont="1" applyBorder="1" applyAlignment="1">
      <alignment horizontal="left"/>
    </xf>
    <xf numFmtId="0" fontId="32" fillId="0" borderId="73" xfId="0" applyFont="1" applyBorder="1" applyAlignment="1">
      <alignment/>
    </xf>
    <xf numFmtId="0" fontId="32" fillId="0" borderId="74" xfId="0" applyFont="1" applyBorder="1" applyAlignment="1">
      <alignment/>
    </xf>
    <xf numFmtId="0" fontId="22" fillId="0" borderId="70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14" fontId="13" fillId="0" borderId="73" xfId="0" applyNumberFormat="1" applyFont="1" applyBorder="1" applyAlignment="1">
      <alignment/>
    </xf>
    <xf numFmtId="0" fontId="22" fillId="0" borderId="74" xfId="0" applyFont="1" applyBorder="1" applyAlignment="1" quotePrefix="1">
      <alignment horizontal="center"/>
    </xf>
    <xf numFmtId="0" fontId="13" fillId="0" borderId="74" xfId="24" applyFont="1" applyBorder="1" applyAlignment="1">
      <alignment horizontal="center"/>
      <protection/>
    </xf>
    <xf numFmtId="1" fontId="13" fillId="0" borderId="74" xfId="24" applyNumberFormat="1" applyFont="1" applyFill="1" applyBorder="1" applyAlignment="1">
      <alignment horizontal="center"/>
      <protection/>
    </xf>
    <xf numFmtId="165" fontId="13" fillId="0" borderId="74" xfId="24" applyNumberFormat="1" applyFont="1" applyBorder="1" applyAlignment="1">
      <alignment horizontal="center"/>
      <protection/>
    </xf>
    <xf numFmtId="0" fontId="13" fillId="0" borderId="76" xfId="0" applyFont="1" applyBorder="1" applyAlignment="1">
      <alignment/>
    </xf>
    <xf numFmtId="0" fontId="13" fillId="0" borderId="7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" fontId="9" fillId="0" borderId="45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3" fillId="0" borderId="79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4" fontId="13" fillId="0" borderId="48" xfId="0" applyNumberFormat="1" applyFont="1" applyBorder="1" applyAlignment="1">
      <alignment/>
    </xf>
    <xf numFmtId="0" fontId="13" fillId="0" borderId="10" xfId="0" applyNumberFormat="1" applyFont="1" applyFill="1" applyBorder="1" applyAlignment="1">
      <alignment horizontal="right" wrapText="1"/>
    </xf>
    <xf numFmtId="0" fontId="13" fillId="0" borderId="0" xfId="0" applyFont="1" applyBorder="1" applyAlignment="1" quotePrefix="1">
      <alignment horizontal="center"/>
    </xf>
    <xf numFmtId="0" fontId="5" fillId="5" borderId="80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14" fontId="13" fillId="0" borderId="68" xfId="0" applyNumberFormat="1" applyFont="1" applyBorder="1" applyAlignment="1">
      <alignment horizontal="center"/>
    </xf>
    <xf numFmtId="0" fontId="0" fillId="0" borderId="81" xfId="0" applyBorder="1" applyAlignment="1">
      <alignment/>
    </xf>
    <xf numFmtId="0" fontId="25" fillId="0" borderId="10" xfId="25" applyFont="1" applyBorder="1">
      <alignment/>
      <protection/>
    </xf>
    <xf numFmtId="165" fontId="25" fillId="0" borderId="10" xfId="25" applyNumberFormat="1" applyFont="1" applyBorder="1">
      <alignment/>
      <protection/>
    </xf>
    <xf numFmtId="0" fontId="26" fillId="0" borderId="10" xfId="25" applyFont="1" applyBorder="1">
      <alignment/>
      <protection/>
    </xf>
    <xf numFmtId="14" fontId="26" fillId="0" borderId="10" xfId="25" applyNumberFormat="1" applyFont="1" applyBorder="1">
      <alignment/>
      <protection/>
    </xf>
    <xf numFmtId="2" fontId="26" fillId="0" borderId="10" xfId="25" applyNumberFormat="1" applyFont="1" applyBorder="1">
      <alignment/>
      <protection/>
    </xf>
    <xf numFmtId="165" fontId="26" fillId="0" borderId="10" xfId="25" applyNumberFormat="1" applyFont="1" applyBorder="1">
      <alignment/>
      <protection/>
    </xf>
    <xf numFmtId="0" fontId="27" fillId="0" borderId="10" xfId="26" applyFont="1" applyBorder="1">
      <alignment/>
      <protection/>
    </xf>
    <xf numFmtId="0" fontId="27" fillId="10" borderId="10" xfId="26" applyFont="1" applyFill="1" applyBorder="1">
      <alignment/>
      <protection/>
    </xf>
    <xf numFmtId="0" fontId="28" fillId="0" borderId="10" xfId="26" applyFont="1" applyBorder="1">
      <alignment/>
      <protection/>
    </xf>
    <xf numFmtId="14" fontId="28" fillId="0" borderId="10" xfId="26" applyNumberFormat="1" applyFont="1" applyBorder="1">
      <alignment/>
      <protection/>
    </xf>
    <xf numFmtId="14" fontId="0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17" fontId="22" fillId="0" borderId="10" xfId="0" applyNumberFormat="1" applyFont="1" applyBorder="1" applyAlignment="1">
      <alignment horizontal="center"/>
    </xf>
    <xf numFmtId="179" fontId="13" fillId="0" borderId="10" xfId="0" applyNumberFormat="1" applyFont="1" applyBorder="1" applyAlignment="1">
      <alignment horizontal="center"/>
    </xf>
    <xf numFmtId="15" fontId="22" fillId="0" borderId="10" xfId="0" applyNumberFormat="1" applyFont="1" applyBorder="1" applyAlignment="1">
      <alignment horizontal="center"/>
    </xf>
    <xf numFmtId="177" fontId="13" fillId="0" borderId="10" xfId="0" applyNumberFormat="1" applyFont="1" applyBorder="1" applyAlignment="1">
      <alignment horizontal="center"/>
    </xf>
    <xf numFmtId="174" fontId="13" fillId="0" borderId="10" xfId="0" applyNumberFormat="1" applyFont="1" applyBorder="1" applyAlignment="1">
      <alignment horizontal="center"/>
    </xf>
    <xf numFmtId="0" fontId="13" fillId="11" borderId="10" xfId="0" applyFont="1" applyFill="1" applyBorder="1" applyAlignment="1">
      <alignment/>
    </xf>
    <xf numFmtId="0" fontId="13" fillId="11" borderId="10" xfId="0" applyFont="1" applyFill="1" applyBorder="1" applyAlignment="1">
      <alignment horizontal="center"/>
    </xf>
    <xf numFmtId="0" fontId="22" fillId="11" borderId="10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4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9" fillId="0" borderId="82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" fontId="31" fillId="0" borderId="10" xfId="0" applyNumberFormat="1" applyFont="1" applyBorder="1" applyAlignment="1">
      <alignment/>
    </xf>
    <xf numFmtId="164" fontId="31" fillId="0" borderId="10" xfId="0" applyNumberFormat="1" applyFont="1" applyBorder="1" applyAlignment="1">
      <alignment wrapText="1"/>
    </xf>
    <xf numFmtId="1" fontId="31" fillId="0" borderId="10" xfId="0" applyNumberFormat="1" applyFont="1" applyBorder="1" applyAlignment="1">
      <alignment wrapText="1"/>
    </xf>
    <xf numFmtId="2" fontId="31" fillId="0" borderId="10" xfId="0" applyNumberFormat="1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31" fillId="0" borderId="38" xfId="0" applyFont="1" applyBorder="1" applyAlignment="1">
      <alignment/>
    </xf>
    <xf numFmtId="0" fontId="31" fillId="0" borderId="83" xfId="0" applyFont="1" applyBorder="1" applyAlignment="1">
      <alignment/>
    </xf>
    <xf numFmtId="0" fontId="31" fillId="0" borderId="83" xfId="0" applyFont="1" applyBorder="1" applyAlignment="1">
      <alignment horizontal="right"/>
    </xf>
    <xf numFmtId="2" fontId="31" fillId="0" borderId="83" xfId="0" applyNumberFormat="1" applyFont="1" applyBorder="1" applyAlignment="1">
      <alignment/>
    </xf>
    <xf numFmtId="2" fontId="31" fillId="0" borderId="83" xfId="0" applyNumberFormat="1" applyFont="1" applyBorder="1" applyAlignment="1">
      <alignment/>
    </xf>
    <xf numFmtId="165" fontId="31" fillId="0" borderId="83" xfId="0" applyNumberFormat="1" applyFont="1" applyBorder="1" applyAlignment="1">
      <alignment/>
    </xf>
    <xf numFmtId="168" fontId="31" fillId="0" borderId="83" xfId="0" applyNumberFormat="1" applyFont="1" applyBorder="1" applyAlignment="1">
      <alignment/>
    </xf>
    <xf numFmtId="1" fontId="31" fillId="0" borderId="83" xfId="0" applyNumberFormat="1" applyFont="1" applyBorder="1" applyAlignment="1">
      <alignment/>
    </xf>
    <xf numFmtId="164" fontId="31" fillId="0" borderId="83" xfId="0" applyNumberFormat="1" applyFont="1" applyBorder="1" applyAlignment="1">
      <alignment/>
    </xf>
    <xf numFmtId="0" fontId="31" fillId="0" borderId="83" xfId="0" applyFont="1" applyBorder="1" applyAlignment="1">
      <alignment horizontal="center"/>
    </xf>
    <xf numFmtId="3" fontId="31" fillId="0" borderId="83" xfId="0" applyNumberFormat="1" applyFont="1" applyBorder="1" applyAlignment="1">
      <alignment/>
    </xf>
    <xf numFmtId="170" fontId="31" fillId="0" borderId="83" xfId="0" applyNumberFormat="1" applyFont="1" applyBorder="1" applyAlignment="1">
      <alignment/>
    </xf>
    <xf numFmtId="165" fontId="31" fillId="0" borderId="83" xfId="0" applyNumberFormat="1" applyFont="1" applyBorder="1" applyAlignment="1">
      <alignment/>
    </xf>
    <xf numFmtId="173" fontId="31" fillId="0" borderId="83" xfId="0" applyNumberFormat="1" applyFont="1" applyBorder="1" applyAlignment="1">
      <alignment/>
    </xf>
    <xf numFmtId="165" fontId="31" fillId="0" borderId="84" xfId="0" applyNumberFormat="1" applyFont="1" applyBorder="1" applyAlignment="1">
      <alignment/>
    </xf>
    <xf numFmtId="0" fontId="12" fillId="0" borderId="7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3" fontId="12" fillId="0" borderId="9" xfId="0" applyNumberFormat="1" applyFont="1" applyBorder="1" applyAlignment="1">
      <alignment wrapText="1"/>
    </xf>
    <xf numFmtId="1" fontId="31" fillId="0" borderId="7" xfId="0" applyNumberFormat="1" applyFont="1" applyBorder="1" applyAlignment="1">
      <alignment/>
    </xf>
    <xf numFmtId="0" fontId="12" fillId="0" borderId="9" xfId="0" applyFont="1" applyBorder="1" applyAlignment="1">
      <alignment/>
    </xf>
    <xf numFmtId="164" fontId="31" fillId="0" borderId="7" xfId="0" applyNumberFormat="1" applyFont="1" applyBorder="1" applyAlignment="1">
      <alignment wrapText="1"/>
    </xf>
    <xf numFmtId="0" fontId="12" fillId="0" borderId="9" xfId="0" applyFont="1" applyBorder="1" applyAlignment="1">
      <alignment wrapText="1"/>
    </xf>
    <xf numFmtId="1" fontId="31" fillId="0" borderId="7" xfId="0" applyNumberFormat="1" applyFont="1" applyBorder="1" applyAlignment="1">
      <alignment wrapText="1"/>
    </xf>
    <xf numFmtId="3" fontId="31" fillId="0" borderId="7" xfId="0" applyNumberFormat="1" applyFont="1" applyBorder="1" applyAlignment="1">
      <alignment wrapText="1"/>
    </xf>
    <xf numFmtId="1" fontId="12" fillId="0" borderId="9" xfId="0" applyNumberFormat="1" applyFont="1" applyBorder="1" applyAlignment="1">
      <alignment wrapText="1"/>
    </xf>
    <xf numFmtId="2" fontId="31" fillId="0" borderId="7" xfId="0" applyNumberFormat="1" applyFont="1" applyBorder="1" applyAlignment="1">
      <alignment wrapText="1"/>
    </xf>
    <xf numFmtId="0" fontId="31" fillId="0" borderId="7" xfId="0" applyFont="1" applyBorder="1" applyAlignment="1">
      <alignment wrapText="1"/>
    </xf>
    <xf numFmtId="165" fontId="12" fillId="0" borderId="9" xfId="0" applyNumberFormat="1" applyFont="1" applyBorder="1" applyAlignment="1">
      <alignment wrapText="1"/>
    </xf>
    <xf numFmtId="164" fontId="12" fillId="0" borderId="9" xfId="0" applyNumberFormat="1" applyFont="1" applyBorder="1" applyAlignment="1">
      <alignment wrapText="1"/>
    </xf>
    <xf numFmtId="168" fontId="12" fillId="0" borderId="9" xfId="0" applyNumberFormat="1" applyFont="1" applyBorder="1" applyAlignment="1">
      <alignment/>
    </xf>
    <xf numFmtId="1" fontId="12" fillId="0" borderId="9" xfId="0" applyNumberFormat="1" applyFont="1" applyBorder="1" applyAlignment="1">
      <alignment/>
    </xf>
    <xf numFmtId="2" fontId="12" fillId="0" borderId="9" xfId="0" applyNumberFormat="1" applyFont="1" applyBorder="1" applyAlignment="1">
      <alignment/>
    </xf>
    <xf numFmtId="164" fontId="12" fillId="0" borderId="9" xfId="0" applyNumberFormat="1" applyFont="1" applyBorder="1" applyAlignment="1">
      <alignment/>
    </xf>
    <xf numFmtId="3" fontId="12" fillId="0" borderId="9" xfId="0" applyNumberFormat="1" applyFont="1" applyBorder="1" applyAlignment="1">
      <alignment/>
    </xf>
    <xf numFmtId="170" fontId="12" fillId="0" borderId="9" xfId="0" applyNumberFormat="1" applyFont="1" applyBorder="1" applyAlignment="1">
      <alignment/>
    </xf>
    <xf numFmtId="0" fontId="12" fillId="0" borderId="85" xfId="0" applyFont="1" applyBorder="1" applyAlignment="1">
      <alignment/>
    </xf>
    <xf numFmtId="0" fontId="12" fillId="0" borderId="58" xfId="0" applyFont="1" applyBorder="1" applyAlignment="1">
      <alignment/>
    </xf>
    <xf numFmtId="0" fontId="12" fillId="0" borderId="86" xfId="0" applyFont="1" applyBorder="1" applyAlignment="1">
      <alignment/>
    </xf>
    <xf numFmtId="0" fontId="12" fillId="0" borderId="7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12" fillId="0" borderId="87" xfId="0" applyFont="1" applyBorder="1" applyAlignment="1">
      <alignment/>
    </xf>
    <xf numFmtId="0" fontId="12" fillId="0" borderId="88" xfId="0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Font="1" applyBorder="1" applyAlignment="1">
      <alignment/>
    </xf>
    <xf numFmtId="173" fontId="13" fillId="0" borderId="8" xfId="0" applyNumberFormat="1" applyFont="1" applyFill="1" applyBorder="1" applyAlignment="1">
      <alignment/>
    </xf>
    <xf numFmtId="0" fontId="22" fillId="0" borderId="10" xfId="0" applyFont="1" applyBorder="1" applyAlignment="1">
      <alignment wrapText="1"/>
    </xf>
    <xf numFmtId="170" fontId="13" fillId="0" borderId="10" xfId="0" applyNumberFormat="1" applyFont="1" applyBorder="1" applyAlignment="1">
      <alignment horizontal="center"/>
    </xf>
    <xf numFmtId="170" fontId="13" fillId="0" borderId="0" xfId="0" applyNumberFormat="1" applyFont="1" applyBorder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8" fillId="0" borderId="89" xfId="0" applyFont="1" applyBorder="1" applyAlignment="1">
      <alignment horizontal="center" wrapText="1"/>
    </xf>
    <xf numFmtId="0" fontId="0" fillId="0" borderId="90" xfId="0" applyBorder="1" applyAlignment="1">
      <alignment/>
    </xf>
    <xf numFmtId="0" fontId="0" fillId="0" borderId="39" xfId="0" applyBorder="1" applyAlignment="1">
      <alignment/>
    </xf>
    <xf numFmtId="0" fontId="12" fillId="0" borderId="91" xfId="0" applyFont="1" applyFill="1" applyBorder="1" applyAlignment="1">
      <alignment horizontal="center" wrapText="1"/>
    </xf>
    <xf numFmtId="0" fontId="12" fillId="0" borderId="92" xfId="0" applyFont="1" applyFill="1" applyBorder="1" applyAlignment="1">
      <alignment horizontal="center" wrapText="1"/>
    </xf>
    <xf numFmtId="0" fontId="12" fillId="0" borderId="93" xfId="0" applyFont="1" applyBorder="1" applyAlignment="1">
      <alignment horizontal="center" wrapText="1"/>
    </xf>
    <xf numFmtId="0" fontId="0" fillId="0" borderId="93" xfId="0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9" fillId="0" borderId="94" xfId="0" applyFont="1" applyBorder="1" applyAlignment="1">
      <alignment horizontal="center" wrapText="1"/>
    </xf>
    <xf numFmtId="0" fontId="9" fillId="0" borderId="95" xfId="0" applyFont="1" applyBorder="1" applyAlignment="1">
      <alignment horizontal="center" wrapText="1"/>
    </xf>
    <xf numFmtId="0" fontId="9" fillId="0" borderId="87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19" fillId="8" borderId="14" xfId="0" applyFont="1" applyFill="1" applyBorder="1" applyAlignment="1">
      <alignment horizontal="left" wrapText="1"/>
    </xf>
    <xf numFmtId="0" fontId="12" fillId="8" borderId="42" xfId="0" applyFont="1" applyFill="1" applyBorder="1" applyAlignment="1">
      <alignment horizontal="left" wrapText="1"/>
    </xf>
    <xf numFmtId="0" fontId="20" fillId="0" borderId="11" xfId="22" applyFont="1" applyBorder="1" applyAlignment="1">
      <alignment horizontal="center"/>
      <protection/>
    </xf>
    <xf numFmtId="0" fontId="20" fillId="0" borderId="96" xfId="22" applyFont="1" applyBorder="1" applyAlignment="1">
      <alignment horizontal="center"/>
      <protection/>
    </xf>
    <xf numFmtId="0" fontId="19" fillId="0" borderId="97" xfId="0" applyFont="1" applyBorder="1" applyAlignment="1">
      <alignment horizontal="center" wrapText="1"/>
    </xf>
    <xf numFmtId="0" fontId="19" fillId="0" borderId="98" xfId="0" applyFont="1" applyBorder="1" applyAlignment="1">
      <alignment horizontal="center" wrapText="1"/>
    </xf>
    <xf numFmtId="0" fontId="19" fillId="8" borderId="99" xfId="0" applyFont="1" applyFill="1" applyBorder="1" applyAlignment="1">
      <alignment horizontal="center" wrapText="1"/>
    </xf>
    <xf numFmtId="0" fontId="12" fillId="8" borderId="33" xfId="0" applyFont="1" applyFill="1" applyBorder="1" applyAlignment="1">
      <alignment horizontal="center"/>
    </xf>
    <xf numFmtId="0" fontId="19" fillId="8" borderId="14" xfId="0" applyFont="1" applyFill="1" applyBorder="1" applyAlignment="1">
      <alignment horizontal="center" wrapText="1"/>
    </xf>
    <xf numFmtId="0" fontId="12" fillId="8" borderId="42" xfId="0" applyFont="1" applyFill="1" applyBorder="1" applyAlignment="1">
      <alignment horizontal="center"/>
    </xf>
    <xf numFmtId="0" fontId="19" fillId="8" borderId="5" xfId="0" applyFont="1" applyFill="1" applyBorder="1" applyAlignment="1">
      <alignment horizontal="center" wrapText="1"/>
    </xf>
    <xf numFmtId="0" fontId="12" fillId="8" borderId="43" xfId="0" applyFont="1" applyFill="1" applyBorder="1" applyAlignment="1">
      <alignment horizontal="center"/>
    </xf>
    <xf numFmtId="0" fontId="12" fillId="7" borderId="14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9" fillId="10" borderId="100" xfId="0" applyFont="1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9" fillId="12" borderId="15" xfId="0" applyFont="1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0" fillId="12" borderId="49" xfId="0" applyFill="1" applyBorder="1" applyAlignment="1">
      <alignment horizontal="center"/>
    </xf>
    <xf numFmtId="0" fontId="0" fillId="0" borderId="42" xfId="0" applyBorder="1" applyAlignment="1">
      <alignment/>
    </xf>
    <xf numFmtId="0" fontId="8" fillId="0" borderId="14" xfId="0" applyFont="1" applyFill="1" applyBorder="1" applyAlignment="1">
      <alignment horizontal="center" wrapText="1"/>
    </xf>
    <xf numFmtId="0" fontId="0" fillId="0" borderId="4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wrapText="1"/>
    </xf>
    <xf numFmtId="0" fontId="0" fillId="0" borderId="43" xfId="0" applyFont="1" applyFill="1" applyBorder="1" applyAlignment="1">
      <alignment horizontal="center"/>
    </xf>
    <xf numFmtId="0" fontId="7" fillId="0" borderId="11" xfId="22" applyFont="1" applyBorder="1" applyAlignment="1">
      <alignment horizontal="center"/>
      <protection/>
    </xf>
    <xf numFmtId="0" fontId="7" fillId="0" borderId="96" xfId="22" applyFont="1" applyBorder="1" applyAlignment="1">
      <alignment horizontal="center"/>
      <protection/>
    </xf>
    <xf numFmtId="0" fontId="8" fillId="0" borderId="97" xfId="0" applyFont="1" applyBorder="1" applyAlignment="1">
      <alignment horizontal="center" wrapText="1"/>
    </xf>
    <xf numFmtId="0" fontId="8" fillId="0" borderId="98" xfId="0" applyFont="1" applyBorder="1" applyAlignment="1">
      <alignment horizontal="center" wrapText="1"/>
    </xf>
    <xf numFmtId="0" fontId="8" fillId="0" borderId="99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/>
    </xf>
    <xf numFmtId="0" fontId="8" fillId="11" borderId="14" xfId="0" applyFont="1" applyFill="1" applyBorder="1" applyAlignment="1">
      <alignment horizontal="center" wrapText="1"/>
    </xf>
    <xf numFmtId="0" fontId="0" fillId="11" borderId="42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8" fillId="0" borderId="14" xfId="0" applyFont="1" applyFill="1" applyBorder="1" applyAlignment="1">
      <alignment horizontal="left" wrapText="1"/>
    </xf>
    <xf numFmtId="0" fontId="0" fillId="0" borderId="42" xfId="0" applyFont="1" applyFill="1" applyBorder="1" applyAlignment="1">
      <alignment horizontal="left" wrapText="1"/>
    </xf>
    <xf numFmtId="0" fontId="22" fillId="5" borderId="25" xfId="0" applyFont="1" applyFill="1" applyBorder="1" applyAlignment="1">
      <alignment horizontal="center"/>
    </xf>
    <xf numFmtId="0" fontId="22" fillId="5" borderId="26" xfId="0" applyFont="1" applyFill="1" applyBorder="1" applyAlignment="1">
      <alignment horizontal="center"/>
    </xf>
    <xf numFmtId="0" fontId="22" fillId="5" borderId="80" xfId="0" applyFont="1" applyFill="1" applyBorder="1" applyAlignment="1">
      <alignment horizontal="center"/>
    </xf>
    <xf numFmtId="0" fontId="27" fillId="10" borderId="10" xfId="26" applyFont="1" applyFill="1" applyBorder="1" applyAlignment="1">
      <alignment horizontal="center"/>
      <protection/>
    </xf>
    <xf numFmtId="0" fontId="24" fillId="0" borderId="10" xfId="26" applyBorder="1" applyAlignment="1">
      <alignment/>
      <protection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10" xfId="25" applyFont="1" applyBorder="1" applyAlignment="1">
      <alignment/>
      <protection/>
    </xf>
    <xf numFmtId="0" fontId="22" fillId="0" borderId="10" xfId="0" applyFont="1" applyFill="1" applyBorder="1" applyAlignment="1">
      <alignment horizontal="left"/>
    </xf>
    <xf numFmtId="0" fontId="22" fillId="0" borderId="25" xfId="0" applyFont="1" applyFill="1" applyBorder="1" applyAlignment="1">
      <alignment/>
    </xf>
    <xf numFmtId="0" fontId="22" fillId="0" borderId="80" xfId="0" applyFont="1" applyFill="1" applyBorder="1" applyAlignment="1">
      <alignment/>
    </xf>
  </cellXfs>
  <cellStyles count="15">
    <cellStyle name="Normal" xfId="0"/>
    <cellStyle name="archive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CTR and NTR" xfId="22"/>
    <cellStyle name="Normal_Effluent Limitations Calc_1" xfId="23"/>
    <cellStyle name="Normal_Rodeo_Phillips66 RPA rev 9_10a" xfId="24"/>
    <cellStyle name="Normal_TI PAH data 8262003" xfId="25"/>
    <cellStyle name="Normal_TI Pesticide data 8262003" xfId="26"/>
    <cellStyle name="Normal_TIP_Dioxin(3)" xfId="27"/>
    <cellStyle name="Percent" xfId="28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theme" Target="theme/theme1.xml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\NPDES%20Group\CA%20Permits\RB%202\Sonoma\To%20RB%20for%20review\Tt%20Sonoma%20RPA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N's%20stuff\San%20Mateo%20City\San%20Mateo%20Data%20199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APLANT\1996JU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IG1095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PLANT\EXCEL\ARCHIVE\1995DE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ASUMMARY\1997sum_b&amp;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AFORMS\AWKSRE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A (2)"/>
      <sheetName val="CuHgZn-Raw Monitoring data"/>
      <sheetName val="Metals+CN+TBT(Data)"/>
      <sheetName val="Organics Data"/>
      <sheetName val="Metals Data + Mini RPA"/>
      <sheetName val="criteria calculations"/>
      <sheetName val="RPA"/>
      <sheetName val="Limits Calculations"/>
      <sheetName val="Hg Mass Analysis "/>
      <sheetName val="Interim Limi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 Avg WCL"/>
      <sheetName val="Metals"/>
      <sheetName val="BOD"/>
      <sheetName val="Coli"/>
      <sheetName val="NH3"/>
      <sheetName val="Sett Mat pH"/>
      <sheetName val="Temp DO"/>
      <sheetName val="Toxicity"/>
      <sheetName val="Turb Cl2"/>
      <sheetName val="TS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CT0696"/>
      <sheetName val="BIO0696"/>
      <sheetName val="CL20696"/>
      <sheetName val="DGEF069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G109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CT1295"/>
    </sheetNames>
    <sheetDataSet>
      <sheetData sheetId="0">
        <row r="9">
          <cell r="B9">
            <v>1250</v>
          </cell>
          <cell r="J9">
            <v>80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LOW"/>
      <sheetName val="RAIN_FLOW"/>
      <sheetName val="GT_DAFTS"/>
      <sheetName val="VF_SLD"/>
      <sheetName val="DGFD_AN"/>
      <sheetName val="DGFD_LD"/>
      <sheetName val="DIG_AN"/>
      <sheetName val="AD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CT"/>
      <sheetName val="BIOA"/>
      <sheetName val="CL2"/>
      <sheetName val="EFFC"/>
      <sheetName val="EFFG"/>
      <sheetName val="EFSO"/>
      <sheetName val="INF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2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23" sqref="B23"/>
    </sheetView>
  </sheetViews>
  <sheetFormatPr defaultColWidth="9.140625" defaultRowHeight="12.75"/>
  <cols>
    <col min="1" max="1" width="8.421875" style="0" customWidth="1"/>
    <col min="2" max="2" width="22.8515625" style="0" customWidth="1"/>
    <col min="3" max="3" width="10.421875" style="0" customWidth="1"/>
    <col min="4" max="4" width="6.28125" style="0" hidden="1" customWidth="1"/>
    <col min="5" max="5" width="6.140625" style="0" hidden="1" customWidth="1"/>
    <col min="6" max="9" width="6.421875" style="0" customWidth="1"/>
    <col min="10" max="10" width="6.00390625" style="0" customWidth="1"/>
    <col min="11" max="11" width="7.140625" style="0" customWidth="1"/>
    <col min="12" max="12" width="8.140625" style="0" customWidth="1"/>
    <col min="13" max="14" width="10.00390625" style="0" customWidth="1"/>
    <col min="15" max="15" width="11.00390625" style="0" customWidth="1"/>
  </cols>
  <sheetData>
    <row r="1" spans="2:4" ht="12.75">
      <c r="B1" s="44" t="s">
        <v>188</v>
      </c>
      <c r="C1" s="107" t="s">
        <v>21</v>
      </c>
      <c r="D1" s="19"/>
    </row>
    <row r="2" spans="2:13" ht="14.25" customHeight="1">
      <c r="B2" s="44" t="s">
        <v>189</v>
      </c>
      <c r="C2" s="107">
        <v>7.8</v>
      </c>
      <c r="D2" s="19"/>
      <c r="F2" s="472"/>
      <c r="G2" s="472"/>
      <c r="H2" s="472"/>
      <c r="I2" s="472"/>
      <c r="J2" s="472"/>
      <c r="K2" s="472"/>
      <c r="L2" s="472"/>
      <c r="M2" s="471"/>
    </row>
    <row r="3" spans="2:4" ht="13.5" thickBot="1">
      <c r="B3" s="50"/>
      <c r="C3" s="19"/>
      <c r="D3" s="19"/>
    </row>
    <row r="4" spans="1:13" ht="36" customHeight="1" thickBot="1" thickTop="1">
      <c r="A4" s="521"/>
      <c r="B4" s="520"/>
      <c r="C4" s="533" t="s">
        <v>145</v>
      </c>
      <c r="D4" s="470"/>
      <c r="E4" s="445"/>
      <c r="F4" s="544" t="s">
        <v>7</v>
      </c>
      <c r="G4" s="545"/>
      <c r="H4" s="545"/>
      <c r="I4" s="546"/>
      <c r="J4" s="547" t="s">
        <v>8</v>
      </c>
      <c r="K4" s="548"/>
      <c r="L4" s="548"/>
      <c r="M4" s="532"/>
    </row>
    <row r="5" spans="1:15" s="53" customFormat="1" ht="24.75" customHeight="1" thickTop="1">
      <c r="A5" s="51"/>
      <c r="B5" s="52"/>
      <c r="C5" s="534"/>
      <c r="D5" s="536" t="s">
        <v>9</v>
      </c>
      <c r="E5" s="537"/>
      <c r="F5" s="538" t="s">
        <v>191</v>
      </c>
      <c r="G5" s="539"/>
      <c r="H5" s="539"/>
      <c r="I5" s="539"/>
      <c r="J5" s="540" t="s">
        <v>10</v>
      </c>
      <c r="K5" s="541"/>
      <c r="L5" s="530" t="s">
        <v>192</v>
      </c>
      <c r="M5" s="531"/>
      <c r="N5" s="542" t="s">
        <v>11</v>
      </c>
      <c r="O5" s="543"/>
    </row>
    <row r="6" spans="1:15" ht="37.5" customHeight="1" thickBot="1">
      <c r="A6" s="54" t="s">
        <v>193</v>
      </c>
      <c r="B6" s="55" t="s">
        <v>149</v>
      </c>
      <c r="C6" s="535"/>
      <c r="D6" s="56" t="s">
        <v>194</v>
      </c>
      <c r="E6" s="57" t="s">
        <v>12</v>
      </c>
      <c r="F6" s="58" t="s">
        <v>16</v>
      </c>
      <c r="G6" s="219" t="s">
        <v>13</v>
      </c>
      <c r="H6" s="219" t="s">
        <v>14</v>
      </c>
      <c r="I6" s="222" t="s">
        <v>15</v>
      </c>
      <c r="J6" s="493" t="s">
        <v>195</v>
      </c>
      <c r="K6" s="136" t="s">
        <v>196</v>
      </c>
      <c r="L6" s="136" t="s">
        <v>197</v>
      </c>
      <c r="M6" s="494" t="s">
        <v>17</v>
      </c>
      <c r="N6" s="516" t="s">
        <v>18</v>
      </c>
      <c r="O6" s="517" t="s">
        <v>19</v>
      </c>
    </row>
    <row r="7" spans="1:15" s="8" customFormat="1" ht="15" customHeight="1" thickBot="1">
      <c r="A7" s="59"/>
      <c r="B7" s="60"/>
      <c r="C7" s="61" t="s">
        <v>198</v>
      </c>
      <c r="D7" s="62" t="s">
        <v>198</v>
      </c>
      <c r="E7" s="63" t="s">
        <v>198</v>
      </c>
      <c r="F7" s="64" t="s">
        <v>198</v>
      </c>
      <c r="G7" s="220" t="s">
        <v>198</v>
      </c>
      <c r="H7" s="220" t="s">
        <v>198</v>
      </c>
      <c r="I7" s="221" t="s">
        <v>198</v>
      </c>
      <c r="J7" s="493" t="s">
        <v>198</v>
      </c>
      <c r="K7" s="136" t="s">
        <v>198</v>
      </c>
      <c r="L7" s="136" t="s">
        <v>198</v>
      </c>
      <c r="M7" s="494" t="s">
        <v>198</v>
      </c>
      <c r="N7" s="516"/>
      <c r="O7" s="517"/>
    </row>
    <row r="8" spans="1:15" ht="12.75">
      <c r="A8" s="167">
        <v>1</v>
      </c>
      <c r="B8" s="168" t="s">
        <v>20</v>
      </c>
      <c r="C8" s="478">
        <f>IF(MIN(D8:M8)=0,"No Criteria",MIN(D8:M8))</f>
        <v>4300</v>
      </c>
      <c r="D8" s="66"/>
      <c r="E8" s="65"/>
      <c r="F8" s="187"/>
      <c r="G8" s="188"/>
      <c r="H8" s="188"/>
      <c r="I8" s="189"/>
      <c r="J8" s="213"/>
      <c r="K8" s="199"/>
      <c r="L8" s="199"/>
      <c r="M8" s="495">
        <v>4300</v>
      </c>
      <c r="N8" s="70"/>
      <c r="O8" s="11"/>
    </row>
    <row r="9" spans="1:15" ht="12.75">
      <c r="A9" s="169">
        <v>2</v>
      </c>
      <c r="B9" s="170" t="s">
        <v>150</v>
      </c>
      <c r="C9" s="479">
        <f>IF($C$1="Y",IF(MIN(D9:I9)=0," No Criteria",MIN(D9:I9)),IF(MIN(D9:M9)=0,"No Criteria",MIN(D9:M9)))</f>
        <v>36</v>
      </c>
      <c r="D9" s="68"/>
      <c r="E9" s="69"/>
      <c r="F9" s="190">
        <v>36</v>
      </c>
      <c r="G9" s="191">
        <v>69</v>
      </c>
      <c r="H9" s="191"/>
      <c r="I9" s="192"/>
      <c r="J9" s="496">
        <f>69/N9</f>
        <v>69</v>
      </c>
      <c r="K9" s="473">
        <f>36/O9</f>
        <v>36</v>
      </c>
      <c r="L9" s="211"/>
      <c r="M9" s="497"/>
      <c r="N9" s="70">
        <v>1</v>
      </c>
      <c r="O9" s="11">
        <v>1</v>
      </c>
    </row>
    <row r="10" spans="1:15" ht="12.75">
      <c r="A10" s="169">
        <v>3</v>
      </c>
      <c r="B10" s="170" t="s">
        <v>199</v>
      </c>
      <c r="C10" s="480" t="str">
        <f>IF(MIN(D10:M10)=0,"No Criteria",MIN(D10:M10))</f>
        <v>No Criteria</v>
      </c>
      <c r="D10" s="68"/>
      <c r="E10" s="72"/>
      <c r="F10" s="193"/>
      <c r="G10" s="191"/>
      <c r="H10" s="191"/>
      <c r="I10" s="192"/>
      <c r="J10" s="496"/>
      <c r="K10" s="473"/>
      <c r="L10" s="177"/>
      <c r="M10" s="497"/>
      <c r="N10" s="70"/>
      <c r="O10" s="11"/>
    </row>
    <row r="11" spans="1:15" ht="12.75">
      <c r="A11" s="171">
        <v>4</v>
      </c>
      <c r="B11" s="172" t="s">
        <v>200</v>
      </c>
      <c r="C11" s="481">
        <f>IF($C$1="Y",IF(MIN(D11:I11)=0," No Criteria",MIN(D11:I11)),IF(MIN(D11:M11)=0,"No Criteria",MIN(D11:M11)))</f>
        <v>9.3</v>
      </c>
      <c r="D11" s="66"/>
      <c r="E11" s="73"/>
      <c r="F11" s="194">
        <v>9.3</v>
      </c>
      <c r="G11" s="195">
        <v>43</v>
      </c>
      <c r="H11" s="195"/>
      <c r="I11" s="196"/>
      <c r="J11" s="498">
        <f>42/N11</f>
        <v>42.25352112676056</v>
      </c>
      <c r="K11" s="474">
        <f>9.3/O11</f>
        <v>9.356136820925554</v>
      </c>
      <c r="L11" s="178"/>
      <c r="M11" s="499"/>
      <c r="N11" s="77">
        <v>0.994</v>
      </c>
      <c r="O11" s="76">
        <v>0.994</v>
      </c>
    </row>
    <row r="12" spans="1:15" ht="12.75">
      <c r="A12" s="171" t="s">
        <v>24</v>
      </c>
      <c r="B12" s="172" t="s">
        <v>25</v>
      </c>
      <c r="C12" s="482" t="str">
        <f>IF(MIN(D12:M12)=0,"  No Criteria",MIN(D12:M12))</f>
        <v>  No Criteria</v>
      </c>
      <c r="D12" s="66"/>
      <c r="E12" s="73"/>
      <c r="F12" s="194"/>
      <c r="G12" s="195"/>
      <c r="H12" s="195"/>
      <c r="I12" s="196"/>
      <c r="J12" s="500"/>
      <c r="K12" s="474"/>
      <c r="L12" s="204"/>
      <c r="M12" s="499"/>
      <c r="N12" s="77"/>
      <c r="O12" s="76"/>
    </row>
    <row r="13" spans="1:15" ht="12.75">
      <c r="A13" s="171" t="s">
        <v>26</v>
      </c>
      <c r="B13" s="173" t="s">
        <v>201</v>
      </c>
      <c r="C13" s="481">
        <f>IF($C$1="Y",IF(MIN(D13:I13)=0," No Criteria",MIN(D13:I13)),IF(MIN(D13:M13)=0,"No Criteria",MIN(D13:M13)))</f>
        <v>50</v>
      </c>
      <c r="D13" s="79"/>
      <c r="E13" s="80"/>
      <c r="F13" s="197">
        <v>50</v>
      </c>
      <c r="G13" s="195">
        <v>1100</v>
      </c>
      <c r="H13" s="195"/>
      <c r="I13" s="196"/>
      <c r="J13" s="501">
        <f>1100/N13</f>
        <v>1107.7542799597181</v>
      </c>
      <c r="K13" s="475">
        <f>50/O13</f>
        <v>50.35246727089628</v>
      </c>
      <c r="L13" s="212"/>
      <c r="M13" s="502"/>
      <c r="N13" s="77">
        <v>0.993</v>
      </c>
      <c r="O13" s="76">
        <v>0.993</v>
      </c>
    </row>
    <row r="14" spans="1:15" ht="12.75">
      <c r="A14" s="171">
        <v>6</v>
      </c>
      <c r="B14" s="172" t="s">
        <v>202</v>
      </c>
      <c r="C14" s="482">
        <f>IF(MIN(D14:M14)=0,"  No Criteria",MIN(D14:M14))</f>
        <v>3.734939759036145</v>
      </c>
      <c r="D14" s="82"/>
      <c r="E14" s="83"/>
      <c r="F14" s="194"/>
      <c r="G14" s="198"/>
      <c r="H14" s="199"/>
      <c r="I14" s="200"/>
      <c r="J14" s="503">
        <f>4.8/N14</f>
        <v>5.783132530120482</v>
      </c>
      <c r="K14" s="476">
        <f>3.1/O14</f>
        <v>3.734939759036145</v>
      </c>
      <c r="L14" s="178"/>
      <c r="M14" s="499"/>
      <c r="N14" s="77">
        <v>0.83</v>
      </c>
      <c r="O14" s="76">
        <v>0.83</v>
      </c>
    </row>
    <row r="15" spans="1:15" ht="12.75">
      <c r="A15" s="171">
        <v>7</v>
      </c>
      <c r="B15" s="172" t="s">
        <v>203</v>
      </c>
      <c r="C15" s="481">
        <f>IF($C$1="Y",IF(MIN(D15:I15)=0," No Criteria",MIN(D15:I15)),IF(MIN(D15:M15)=0,"No Criteria",MIN(D15:M15)))</f>
        <v>5.6</v>
      </c>
      <c r="D15" s="66"/>
      <c r="E15" s="80"/>
      <c r="F15" s="194">
        <v>5.6</v>
      </c>
      <c r="G15" s="201">
        <v>140</v>
      </c>
      <c r="H15" s="201"/>
      <c r="I15" s="202"/>
      <c r="J15" s="500">
        <f>210/N15</f>
        <v>220.82018927444796</v>
      </c>
      <c r="K15" s="474">
        <f>8.1/O15</f>
        <v>8.517350157728707</v>
      </c>
      <c r="L15" s="178"/>
      <c r="M15" s="499"/>
      <c r="N15" s="77">
        <v>0.951</v>
      </c>
      <c r="O15" s="76">
        <v>0.951</v>
      </c>
    </row>
    <row r="16" spans="1:15" ht="12.75">
      <c r="A16" s="171">
        <v>8</v>
      </c>
      <c r="B16" s="173" t="s">
        <v>204</v>
      </c>
      <c r="C16" s="483">
        <f>IF($C$1="Y",IF(MIN(D16:I16)=0," No Criteria",MIN(D16:I16)),IF(MIN(D16:M16)=0,"No Criteria",MIN(D16:M16)))</f>
        <v>0.025</v>
      </c>
      <c r="D16" s="84"/>
      <c r="E16" s="85"/>
      <c r="F16" s="203">
        <v>0.025</v>
      </c>
      <c r="G16" s="204">
        <v>2.1</v>
      </c>
      <c r="H16" s="204"/>
      <c r="I16" s="205"/>
      <c r="J16" s="504"/>
      <c r="K16" s="477"/>
      <c r="L16" s="199"/>
      <c r="M16" s="505">
        <v>0.051</v>
      </c>
      <c r="N16" s="77"/>
      <c r="O16" s="76"/>
    </row>
    <row r="17" spans="1:15" ht="12.75">
      <c r="A17" s="171">
        <v>9</v>
      </c>
      <c r="B17" s="172" t="s">
        <v>205</v>
      </c>
      <c r="C17" s="481">
        <f>IF($C$1="Y",IF(MIN(D17:I17)=0," No Criteria",MIN(D17:I17)),IF(MIN(D17:M17)=0,"No Criteria",MIN(D17:M17)))</f>
        <v>7.1</v>
      </c>
      <c r="D17" s="82"/>
      <c r="E17" s="85"/>
      <c r="F17" s="206"/>
      <c r="G17" s="71"/>
      <c r="H17" s="179">
        <v>7.1</v>
      </c>
      <c r="I17" s="202">
        <v>140</v>
      </c>
      <c r="J17" s="500">
        <f>74/N17</f>
        <v>74.74747474747475</v>
      </c>
      <c r="K17" s="474">
        <f>8.2/O17</f>
        <v>8.282828282828282</v>
      </c>
      <c r="L17" s="178"/>
      <c r="M17" s="495">
        <v>4600</v>
      </c>
      <c r="N17" s="77">
        <v>0.99</v>
      </c>
      <c r="O17" s="76">
        <v>0.99</v>
      </c>
    </row>
    <row r="18" spans="1:15" ht="12.75">
      <c r="A18" s="171">
        <v>10</v>
      </c>
      <c r="B18" s="172" t="s">
        <v>206</v>
      </c>
      <c r="C18" s="482">
        <f>IF(MIN(D18:M18)=0,"  No Criteria",MIN(D18:M18))</f>
        <v>5</v>
      </c>
      <c r="D18" s="82"/>
      <c r="E18" s="85"/>
      <c r="F18" s="207"/>
      <c r="G18" s="199"/>
      <c r="H18" s="199"/>
      <c r="I18" s="200"/>
      <c r="J18" s="500">
        <v>20</v>
      </c>
      <c r="K18" s="475">
        <v>5</v>
      </c>
      <c r="L18" s="212"/>
      <c r="M18" s="499"/>
      <c r="N18" s="77">
        <v>0.998</v>
      </c>
      <c r="O18" s="76">
        <v>0.998</v>
      </c>
    </row>
    <row r="19" spans="1:15" ht="12.75">
      <c r="A19" s="171">
        <v>11</v>
      </c>
      <c r="B19" s="172" t="s">
        <v>207</v>
      </c>
      <c r="C19" s="481">
        <f>IF($C$1="Y",IF(MIN(D19:I19)=0," No Criteria",MIN(D19:I19)),IF(MIN(D19:M19)=0,"No Criteria",MIN(D19:M19)))</f>
        <v>2.3</v>
      </c>
      <c r="D19" s="66"/>
      <c r="E19" s="80"/>
      <c r="F19" s="207"/>
      <c r="G19" s="204"/>
      <c r="H19" s="204"/>
      <c r="I19" s="205">
        <v>2.3</v>
      </c>
      <c r="J19" s="498">
        <f>1.9/N19</f>
        <v>2.235294117647059</v>
      </c>
      <c r="K19" s="477"/>
      <c r="L19" s="199"/>
      <c r="M19" s="499"/>
      <c r="N19" s="77">
        <v>0.85</v>
      </c>
      <c r="O19" s="76"/>
    </row>
    <row r="20" spans="1:15" ht="12.75">
      <c r="A20" s="171">
        <v>12</v>
      </c>
      <c r="B20" s="172" t="s">
        <v>27</v>
      </c>
      <c r="C20" s="482">
        <f>IF(MIN(D20:M20)=0,"  No Criteria",MIN(D20:M20))</f>
        <v>6.3</v>
      </c>
      <c r="D20" s="66"/>
      <c r="E20" s="80"/>
      <c r="F20" s="207"/>
      <c r="G20" s="199"/>
      <c r="H20" s="199"/>
      <c r="I20" s="200"/>
      <c r="J20" s="504"/>
      <c r="K20" s="477"/>
      <c r="L20" s="199"/>
      <c r="M20" s="506">
        <v>6.3</v>
      </c>
      <c r="N20" s="77"/>
      <c r="O20" s="76"/>
    </row>
    <row r="21" spans="1:15" ht="12.75">
      <c r="A21" s="171">
        <v>13</v>
      </c>
      <c r="B21" s="172" t="s">
        <v>208</v>
      </c>
      <c r="C21" s="481">
        <f>IF($C$1="Y",IF(MIN(D21:I21)=0," No Criteria",MIN(D21:I21)),IF(MIN(D21:M21)=0,"No Criteria",MIN(D21:M21)))</f>
        <v>58</v>
      </c>
      <c r="D21" s="66"/>
      <c r="E21" s="80"/>
      <c r="F21" s="197"/>
      <c r="G21" s="201"/>
      <c r="H21" s="182">
        <v>58</v>
      </c>
      <c r="I21" s="202">
        <v>170</v>
      </c>
      <c r="J21" s="500">
        <f>90/N21</f>
        <v>95.13742071881607</v>
      </c>
      <c r="K21" s="475">
        <f>81/O21</f>
        <v>85.62367864693447</v>
      </c>
      <c r="L21" s="212"/>
      <c r="M21" s="499"/>
      <c r="N21" s="77">
        <v>0.946</v>
      </c>
      <c r="O21" s="76">
        <v>0.946</v>
      </c>
    </row>
    <row r="22" spans="1:15" ht="12.75">
      <c r="A22" s="171">
        <v>14</v>
      </c>
      <c r="B22" s="172" t="s">
        <v>209</v>
      </c>
      <c r="C22" s="480">
        <f>IF(MIN(D22:M22)=0,"No Criteria",MIN(D22:M22))</f>
        <v>1</v>
      </c>
      <c r="D22" s="66"/>
      <c r="E22" s="80"/>
      <c r="F22" s="197"/>
      <c r="G22" s="201">
        <v>5</v>
      </c>
      <c r="H22" s="201"/>
      <c r="I22" s="202"/>
      <c r="J22" s="214">
        <v>1</v>
      </c>
      <c r="K22" s="201">
        <v>1</v>
      </c>
      <c r="L22" s="201"/>
      <c r="M22" s="495">
        <v>220000</v>
      </c>
      <c r="N22" s="70"/>
      <c r="O22" s="11"/>
    </row>
    <row r="23" spans="1:15" ht="12.75">
      <c r="A23" s="171">
        <v>15</v>
      </c>
      <c r="B23" s="172" t="s">
        <v>28</v>
      </c>
      <c r="C23" s="480" t="str">
        <f>IF(MIN(D23:M23)=0,"No Criteria",MIN(D23:M23))</f>
        <v>No Criteria</v>
      </c>
      <c r="D23" s="66"/>
      <c r="E23" s="65"/>
      <c r="F23" s="207"/>
      <c r="G23" s="199"/>
      <c r="H23" s="199"/>
      <c r="I23" s="200"/>
      <c r="J23" s="213"/>
      <c r="K23" s="199"/>
      <c r="L23" s="199"/>
      <c r="M23" s="499"/>
      <c r="N23" s="70"/>
      <c r="O23" s="11"/>
    </row>
    <row r="24" spans="1:15" ht="12.75">
      <c r="A24" s="169">
        <v>16</v>
      </c>
      <c r="B24" s="172" t="s">
        <v>210</v>
      </c>
      <c r="C24" s="484">
        <f aca="true" t="shared" si="0" ref="C24:C32">IF(MIN(D24:M24)=0,"  No Criteria",MIN(D24:M24))</f>
        <v>1.4E-08</v>
      </c>
      <c r="D24" s="82"/>
      <c r="E24" s="65"/>
      <c r="F24" s="207"/>
      <c r="G24" s="75"/>
      <c r="H24" s="75"/>
      <c r="I24" s="172"/>
      <c r="J24" s="77"/>
      <c r="K24" s="75"/>
      <c r="L24" s="75"/>
      <c r="M24" s="507">
        <v>1.4E-08</v>
      </c>
      <c r="N24" s="70"/>
      <c r="O24" s="11"/>
    </row>
    <row r="25" spans="1:15" ht="12.75">
      <c r="A25" s="169"/>
      <c r="B25" s="172" t="s">
        <v>510</v>
      </c>
      <c r="C25" s="484">
        <f t="shared" si="0"/>
        <v>1.4E-08</v>
      </c>
      <c r="D25" s="82"/>
      <c r="E25" s="65"/>
      <c r="F25" s="207"/>
      <c r="G25" s="75"/>
      <c r="H25" s="75"/>
      <c r="I25" s="172"/>
      <c r="J25" s="77"/>
      <c r="K25" s="75"/>
      <c r="L25" s="75"/>
      <c r="M25" s="507">
        <v>1.4E-08</v>
      </c>
      <c r="N25" s="70"/>
      <c r="O25" s="11"/>
    </row>
    <row r="26" spans="1:15" ht="12.75">
      <c r="A26" s="169">
        <v>17</v>
      </c>
      <c r="B26" s="172" t="s">
        <v>30</v>
      </c>
      <c r="C26" s="485">
        <f t="shared" si="0"/>
        <v>780</v>
      </c>
      <c r="D26" s="66"/>
      <c r="E26" s="65"/>
      <c r="F26" s="207"/>
      <c r="G26" s="75"/>
      <c r="H26" s="75"/>
      <c r="I26" s="172"/>
      <c r="J26" s="77"/>
      <c r="K26" s="75"/>
      <c r="L26" s="75"/>
      <c r="M26" s="508">
        <v>780</v>
      </c>
      <c r="N26" s="70"/>
      <c r="O26" s="11"/>
    </row>
    <row r="27" spans="1:15" ht="12.75">
      <c r="A27" s="169">
        <v>18</v>
      </c>
      <c r="B27" s="172" t="s">
        <v>31</v>
      </c>
      <c r="C27" s="482">
        <f t="shared" si="0"/>
        <v>0.66</v>
      </c>
      <c r="D27" s="66"/>
      <c r="E27" s="65"/>
      <c r="F27" s="207"/>
      <c r="G27" s="75"/>
      <c r="H27" s="75"/>
      <c r="I27" s="172"/>
      <c r="J27" s="77"/>
      <c r="K27" s="75"/>
      <c r="L27" s="75"/>
      <c r="M27" s="509">
        <v>0.66</v>
      </c>
      <c r="N27" s="70"/>
      <c r="O27" s="11"/>
    </row>
    <row r="28" spans="1:15" ht="12.75">
      <c r="A28" s="169">
        <v>19</v>
      </c>
      <c r="B28" s="172" t="s">
        <v>32</v>
      </c>
      <c r="C28" s="485">
        <f t="shared" si="0"/>
        <v>71</v>
      </c>
      <c r="D28" s="66"/>
      <c r="E28" s="65"/>
      <c r="F28" s="207"/>
      <c r="G28" s="75"/>
      <c r="H28" s="75"/>
      <c r="I28" s="172"/>
      <c r="J28" s="77"/>
      <c r="K28" s="75"/>
      <c r="L28" s="75"/>
      <c r="M28" s="508">
        <v>71</v>
      </c>
      <c r="N28" s="70"/>
      <c r="O28" s="11"/>
    </row>
    <row r="29" spans="1:15" ht="12.75">
      <c r="A29" s="169">
        <v>20</v>
      </c>
      <c r="B29" s="172" t="s">
        <v>33</v>
      </c>
      <c r="C29" s="485">
        <f t="shared" si="0"/>
        <v>360</v>
      </c>
      <c r="D29" s="66"/>
      <c r="E29" s="65"/>
      <c r="F29" s="207"/>
      <c r="G29" s="75"/>
      <c r="H29" s="75"/>
      <c r="I29" s="172"/>
      <c r="J29" s="77"/>
      <c r="K29" s="75"/>
      <c r="L29" s="75"/>
      <c r="M29" s="508">
        <v>360</v>
      </c>
      <c r="N29" s="70"/>
      <c r="O29" s="11"/>
    </row>
    <row r="30" spans="1:15" ht="12.75">
      <c r="A30" s="169">
        <v>21</v>
      </c>
      <c r="B30" s="172" t="s">
        <v>34</v>
      </c>
      <c r="C30" s="486">
        <f t="shared" si="0"/>
        <v>4.4</v>
      </c>
      <c r="D30" s="66"/>
      <c r="E30" s="65"/>
      <c r="F30" s="207"/>
      <c r="G30" s="75"/>
      <c r="H30" s="75"/>
      <c r="I30" s="172"/>
      <c r="J30" s="77"/>
      <c r="K30" s="75"/>
      <c r="L30" s="75"/>
      <c r="M30" s="510">
        <v>4.4</v>
      </c>
      <c r="N30" s="70"/>
      <c r="O30" s="11"/>
    </row>
    <row r="31" spans="1:15" ht="12.75">
      <c r="A31" s="169">
        <v>22</v>
      </c>
      <c r="B31" s="172" t="s">
        <v>35</v>
      </c>
      <c r="C31" s="485">
        <f t="shared" si="0"/>
        <v>21000</v>
      </c>
      <c r="D31" s="66"/>
      <c r="E31" s="65"/>
      <c r="F31" s="207"/>
      <c r="G31" s="75"/>
      <c r="H31" s="75"/>
      <c r="I31" s="172"/>
      <c r="J31" s="77"/>
      <c r="K31" s="75"/>
      <c r="L31" s="75"/>
      <c r="M31" s="511">
        <v>21000</v>
      </c>
      <c r="N31" s="70"/>
      <c r="O31" s="11"/>
    </row>
    <row r="32" spans="1:15" ht="12.75">
      <c r="A32" s="169">
        <v>23</v>
      </c>
      <c r="B32" s="172" t="s">
        <v>211</v>
      </c>
      <c r="C32" s="485">
        <f t="shared" si="0"/>
        <v>34</v>
      </c>
      <c r="D32" s="66"/>
      <c r="E32" s="65"/>
      <c r="F32" s="207"/>
      <c r="G32" s="75"/>
      <c r="H32" s="75"/>
      <c r="I32" s="172"/>
      <c r="J32" s="77"/>
      <c r="K32" s="75"/>
      <c r="L32" s="75"/>
      <c r="M32" s="508">
        <v>34</v>
      </c>
      <c r="N32" s="70"/>
      <c r="O32" s="11"/>
    </row>
    <row r="33" spans="1:15" ht="12.75">
      <c r="A33" s="169">
        <v>24</v>
      </c>
      <c r="B33" s="172" t="s">
        <v>37</v>
      </c>
      <c r="C33" s="487" t="str">
        <f>IF(MIN(D33:M33)=0,"No Criteria",MIN(D33:M33))</f>
        <v>No Criteria</v>
      </c>
      <c r="D33" s="66"/>
      <c r="E33" s="65"/>
      <c r="F33" s="207"/>
      <c r="G33" s="75"/>
      <c r="H33" s="75"/>
      <c r="I33" s="172"/>
      <c r="J33" s="77"/>
      <c r="K33" s="75"/>
      <c r="L33" s="75"/>
      <c r="M33" s="76"/>
      <c r="N33" s="70"/>
      <c r="O33" s="11"/>
    </row>
    <row r="34" spans="1:15" ht="12.75">
      <c r="A34" s="169">
        <v>25</v>
      </c>
      <c r="B34" s="172" t="s">
        <v>212</v>
      </c>
      <c r="C34" s="487" t="str">
        <f>IF(MIN(D34:M34)=0,"No Criteria",MIN(D34:M34))</f>
        <v>No Criteria</v>
      </c>
      <c r="D34" s="66"/>
      <c r="E34" s="65"/>
      <c r="F34" s="207"/>
      <c r="G34" s="75"/>
      <c r="H34" s="75"/>
      <c r="I34" s="172"/>
      <c r="J34" s="77"/>
      <c r="K34" s="75"/>
      <c r="L34" s="75"/>
      <c r="M34" s="76"/>
      <c r="N34" s="70"/>
      <c r="O34" s="11"/>
    </row>
    <row r="35" spans="1:15" ht="12.75">
      <c r="A35" s="169">
        <v>26</v>
      </c>
      <c r="B35" s="172" t="s">
        <v>39</v>
      </c>
      <c r="C35" s="487" t="str">
        <f>IF(MIN(D35:M35)=0,"No Criteria",MIN(D35:M35))</f>
        <v>No Criteria</v>
      </c>
      <c r="D35" s="66"/>
      <c r="E35" s="65"/>
      <c r="F35" s="207"/>
      <c r="G35" s="75"/>
      <c r="H35" s="75"/>
      <c r="I35" s="172"/>
      <c r="J35" s="77"/>
      <c r="K35" s="75"/>
      <c r="L35" s="75"/>
      <c r="M35" s="76"/>
      <c r="N35" s="70"/>
      <c r="O35" s="11"/>
    </row>
    <row r="36" spans="1:15" ht="12.75">
      <c r="A36" s="169">
        <v>27</v>
      </c>
      <c r="B36" s="172" t="s">
        <v>40</v>
      </c>
      <c r="C36" s="485">
        <f>IF(MIN(D36:M36)=0,"  No Criteria",MIN(D36:M36))</f>
        <v>46</v>
      </c>
      <c r="D36" s="66"/>
      <c r="E36" s="65"/>
      <c r="F36" s="207"/>
      <c r="G36" s="75"/>
      <c r="H36" s="75"/>
      <c r="I36" s="172"/>
      <c r="J36" s="77"/>
      <c r="K36" s="75"/>
      <c r="L36" s="75"/>
      <c r="M36" s="508">
        <v>46</v>
      </c>
      <c r="N36" s="70"/>
      <c r="O36" s="11"/>
    </row>
    <row r="37" spans="1:15" ht="12.75">
      <c r="A37" s="169">
        <v>28</v>
      </c>
      <c r="B37" s="172" t="s">
        <v>41</v>
      </c>
      <c r="C37" s="487" t="str">
        <f>IF(MIN(D37:M37)=0,"No Criteria",MIN(D37:M37))</f>
        <v>No Criteria</v>
      </c>
      <c r="D37" s="66"/>
      <c r="E37" s="65"/>
      <c r="F37" s="207"/>
      <c r="G37" s="75"/>
      <c r="H37" s="75"/>
      <c r="I37" s="172"/>
      <c r="J37" s="77"/>
      <c r="K37" s="75"/>
      <c r="L37" s="75"/>
      <c r="M37" s="76"/>
      <c r="N37" s="70"/>
      <c r="O37" s="11"/>
    </row>
    <row r="38" spans="1:15" ht="12.75">
      <c r="A38" s="169">
        <v>29</v>
      </c>
      <c r="B38" s="172" t="s">
        <v>42</v>
      </c>
      <c r="C38" s="485">
        <f aca="true" t="shared" si="1" ref="C38:C43">IF(MIN(D38:M38)=0,"  No Criteria",MIN(D38:M38))</f>
        <v>99</v>
      </c>
      <c r="D38" s="66"/>
      <c r="E38" s="65"/>
      <c r="F38" s="207"/>
      <c r="G38" s="75"/>
      <c r="H38" s="75"/>
      <c r="I38" s="172"/>
      <c r="J38" s="77"/>
      <c r="K38" s="75"/>
      <c r="L38" s="75"/>
      <c r="M38" s="508">
        <v>99</v>
      </c>
      <c r="N38" s="70"/>
      <c r="O38" s="11"/>
    </row>
    <row r="39" spans="1:15" ht="12.75">
      <c r="A39" s="169">
        <v>30</v>
      </c>
      <c r="B39" s="172" t="s">
        <v>43</v>
      </c>
      <c r="C39" s="482">
        <f t="shared" si="1"/>
        <v>3.2</v>
      </c>
      <c r="D39" s="66"/>
      <c r="E39" s="65"/>
      <c r="F39" s="207"/>
      <c r="G39" s="75"/>
      <c r="H39" s="75"/>
      <c r="I39" s="172"/>
      <c r="J39" s="77"/>
      <c r="K39" s="75"/>
      <c r="L39" s="75"/>
      <c r="M39" s="510">
        <v>3.2</v>
      </c>
      <c r="N39" s="70"/>
      <c r="O39" s="11"/>
    </row>
    <row r="40" spans="1:15" ht="12.75">
      <c r="A40" s="169">
        <v>31</v>
      </c>
      <c r="B40" s="172" t="s">
        <v>44</v>
      </c>
      <c r="C40" s="488">
        <f t="shared" si="1"/>
        <v>39</v>
      </c>
      <c r="D40" s="66"/>
      <c r="E40" s="65"/>
      <c r="F40" s="207"/>
      <c r="G40" s="75"/>
      <c r="H40" s="75"/>
      <c r="I40" s="172"/>
      <c r="J40" s="77"/>
      <c r="K40" s="75"/>
      <c r="L40" s="75"/>
      <c r="M40" s="508">
        <v>39</v>
      </c>
      <c r="N40" s="70"/>
      <c r="O40" s="11"/>
    </row>
    <row r="41" spans="1:15" ht="12.75">
      <c r="A41" s="169">
        <v>32</v>
      </c>
      <c r="B41" s="172" t="s">
        <v>45</v>
      </c>
      <c r="C41" s="488">
        <f t="shared" si="1"/>
        <v>1700</v>
      </c>
      <c r="D41" s="66"/>
      <c r="E41" s="65"/>
      <c r="F41" s="207"/>
      <c r="G41" s="75"/>
      <c r="H41" s="75"/>
      <c r="I41" s="172"/>
      <c r="J41" s="77"/>
      <c r="K41" s="75"/>
      <c r="L41" s="75"/>
      <c r="M41" s="511">
        <v>1700</v>
      </c>
      <c r="N41" s="70"/>
      <c r="O41" s="11"/>
    </row>
    <row r="42" spans="1:15" ht="12.75">
      <c r="A42" s="169">
        <v>33</v>
      </c>
      <c r="B42" s="172" t="s">
        <v>46</v>
      </c>
      <c r="C42" s="488">
        <f t="shared" si="1"/>
        <v>29000</v>
      </c>
      <c r="D42" s="66"/>
      <c r="E42" s="65"/>
      <c r="F42" s="207"/>
      <c r="G42" s="75"/>
      <c r="H42" s="75"/>
      <c r="I42" s="172"/>
      <c r="J42" s="77"/>
      <c r="K42" s="75"/>
      <c r="L42" s="75"/>
      <c r="M42" s="511">
        <v>29000</v>
      </c>
      <c r="N42" s="70"/>
      <c r="O42" s="11"/>
    </row>
    <row r="43" spans="1:15" ht="12.75">
      <c r="A43" s="169">
        <v>34</v>
      </c>
      <c r="B43" s="172" t="s">
        <v>47</v>
      </c>
      <c r="C43" s="488">
        <f t="shared" si="1"/>
        <v>4000</v>
      </c>
      <c r="D43" s="66"/>
      <c r="E43" s="65"/>
      <c r="F43" s="207"/>
      <c r="G43" s="75"/>
      <c r="H43" s="75"/>
      <c r="I43" s="172"/>
      <c r="J43" s="77"/>
      <c r="K43" s="75"/>
      <c r="L43" s="75"/>
      <c r="M43" s="511">
        <v>4000</v>
      </c>
      <c r="N43" s="70"/>
      <c r="O43" s="11"/>
    </row>
    <row r="44" spans="1:15" ht="12.75">
      <c r="A44" s="169">
        <v>35</v>
      </c>
      <c r="B44" s="172" t="s">
        <v>48</v>
      </c>
      <c r="C44" s="487" t="str">
        <f>IF(MIN(D44:M44)=0,"No Criteria",MIN(D44:M44))</f>
        <v>No Criteria</v>
      </c>
      <c r="D44" s="66"/>
      <c r="E44" s="65"/>
      <c r="F44" s="207"/>
      <c r="G44" s="75"/>
      <c r="H44" s="75"/>
      <c r="I44" s="172"/>
      <c r="J44" s="77"/>
      <c r="K44" s="75"/>
      <c r="L44" s="75"/>
      <c r="M44" s="508"/>
      <c r="N44" s="70"/>
      <c r="O44" s="11"/>
    </row>
    <row r="45" spans="1:15" ht="12.75">
      <c r="A45" s="169">
        <v>36</v>
      </c>
      <c r="B45" s="172" t="s">
        <v>49</v>
      </c>
      <c r="C45" s="488">
        <f>IF(MIN(D45:M45)=0,"  No Criteria",MIN(D45:M45))</f>
        <v>1600</v>
      </c>
      <c r="D45" s="66"/>
      <c r="E45" s="65"/>
      <c r="F45" s="207"/>
      <c r="G45" s="75"/>
      <c r="H45" s="75"/>
      <c r="I45" s="172"/>
      <c r="J45" s="77"/>
      <c r="K45" s="75"/>
      <c r="L45" s="75"/>
      <c r="M45" s="511">
        <v>1600</v>
      </c>
      <c r="N45" s="70"/>
      <c r="O45" s="11"/>
    </row>
    <row r="46" spans="1:15" ht="12.75">
      <c r="A46" s="169">
        <v>37</v>
      </c>
      <c r="B46" s="172" t="s">
        <v>50</v>
      </c>
      <c r="C46" s="488">
        <f>IF(MIN(D46:M46)=0,"  No Criteria",MIN(D46:M46))</f>
        <v>11</v>
      </c>
      <c r="D46" s="66"/>
      <c r="E46" s="65"/>
      <c r="F46" s="207"/>
      <c r="G46" s="75"/>
      <c r="H46" s="75"/>
      <c r="I46" s="172"/>
      <c r="J46" s="77"/>
      <c r="K46" s="75"/>
      <c r="L46" s="75"/>
      <c r="M46" s="508">
        <v>11</v>
      </c>
      <c r="N46" s="70"/>
      <c r="O46" s="11"/>
    </row>
    <row r="47" spans="1:15" ht="12.75">
      <c r="A47" s="169">
        <v>38</v>
      </c>
      <c r="B47" s="172" t="s">
        <v>51</v>
      </c>
      <c r="C47" s="482">
        <f>IF(MIN(D47:M47)=0,"  No Criteria",MIN(D47:M47))</f>
        <v>8.85</v>
      </c>
      <c r="D47" s="66"/>
      <c r="E47" s="65"/>
      <c r="F47" s="207"/>
      <c r="G47" s="75"/>
      <c r="H47" s="75"/>
      <c r="I47" s="172"/>
      <c r="J47" s="77"/>
      <c r="K47" s="75"/>
      <c r="L47" s="75"/>
      <c r="M47" s="509">
        <v>8.85</v>
      </c>
      <c r="N47" s="70"/>
      <c r="O47" s="11"/>
    </row>
    <row r="48" spans="1:15" ht="12.75">
      <c r="A48" s="169">
        <v>39</v>
      </c>
      <c r="B48" s="172" t="s">
        <v>52</v>
      </c>
      <c r="C48" s="488">
        <f>IF(MIN(D48:M48)=0,"  No Criteria",MIN(D48:M48))</f>
        <v>200000</v>
      </c>
      <c r="D48" s="66"/>
      <c r="E48" s="65"/>
      <c r="F48" s="207"/>
      <c r="G48" s="75"/>
      <c r="H48" s="75"/>
      <c r="I48" s="172"/>
      <c r="J48" s="77"/>
      <c r="K48" s="75"/>
      <c r="L48" s="75"/>
      <c r="M48" s="511">
        <v>200000</v>
      </c>
      <c r="N48" s="70"/>
      <c r="O48" s="11"/>
    </row>
    <row r="49" spans="1:15" ht="12.75">
      <c r="A49" s="169">
        <v>40</v>
      </c>
      <c r="B49" s="172" t="s">
        <v>53</v>
      </c>
      <c r="C49" s="488">
        <f>IF(MIN(D49:M49)=0,"  No Criteria",MIN(D49:M49))</f>
        <v>140000</v>
      </c>
      <c r="D49" s="66"/>
      <c r="E49" s="65"/>
      <c r="F49" s="207"/>
      <c r="G49" s="75"/>
      <c r="H49" s="75"/>
      <c r="I49" s="172"/>
      <c r="J49" s="77"/>
      <c r="K49" s="75"/>
      <c r="L49" s="75"/>
      <c r="M49" s="511">
        <v>140000</v>
      </c>
      <c r="N49" s="70"/>
      <c r="O49" s="11"/>
    </row>
    <row r="50" spans="1:15" ht="12.75">
      <c r="A50" s="169">
        <v>41</v>
      </c>
      <c r="B50" s="172" t="s">
        <v>54</v>
      </c>
      <c r="C50" s="487" t="str">
        <f>IF(MIN(D50:M50)=0,"No Criteria",MIN(D50:M50))</f>
        <v>No Criteria</v>
      </c>
      <c r="D50" s="66"/>
      <c r="E50" s="65"/>
      <c r="F50" s="207"/>
      <c r="G50" s="75"/>
      <c r="H50" s="75"/>
      <c r="I50" s="172"/>
      <c r="J50" s="77"/>
      <c r="K50" s="75"/>
      <c r="L50" s="75"/>
      <c r="M50" s="508"/>
      <c r="N50" s="70"/>
      <c r="O50" s="11"/>
    </row>
    <row r="51" spans="1:15" ht="12.75">
      <c r="A51" s="169">
        <v>42</v>
      </c>
      <c r="B51" s="172" t="s">
        <v>55</v>
      </c>
      <c r="C51" s="488">
        <f aca="true" t="shared" si="2" ref="C51:C58">IF(MIN(D51:M51)=0,"  No Criteria",MIN(D51:M51))</f>
        <v>42</v>
      </c>
      <c r="D51" s="66"/>
      <c r="E51" s="65"/>
      <c r="F51" s="207"/>
      <c r="G51" s="75"/>
      <c r="H51" s="75"/>
      <c r="I51" s="172"/>
      <c r="J51" s="77"/>
      <c r="K51" s="75"/>
      <c r="L51" s="75"/>
      <c r="M51" s="508">
        <v>42</v>
      </c>
      <c r="N51" s="70"/>
      <c r="O51" s="11"/>
    </row>
    <row r="52" spans="1:15" ht="12.75">
      <c r="A52" s="169">
        <v>43</v>
      </c>
      <c r="B52" s="172" t="s">
        <v>56</v>
      </c>
      <c r="C52" s="488">
        <f t="shared" si="2"/>
        <v>81</v>
      </c>
      <c r="D52" s="66"/>
      <c r="E52" s="65"/>
      <c r="F52" s="207"/>
      <c r="G52" s="75"/>
      <c r="H52" s="75"/>
      <c r="I52" s="172"/>
      <c r="J52" s="77"/>
      <c r="K52" s="75"/>
      <c r="L52" s="75"/>
      <c r="M52" s="508">
        <v>81</v>
      </c>
      <c r="N52" s="70"/>
      <c r="O52" s="11"/>
    </row>
    <row r="53" spans="1:15" ht="12.75">
      <c r="A53" s="169">
        <v>44</v>
      </c>
      <c r="B53" s="172" t="s">
        <v>57</v>
      </c>
      <c r="C53" s="488">
        <f t="shared" si="2"/>
        <v>525</v>
      </c>
      <c r="D53" s="66"/>
      <c r="E53" s="65"/>
      <c r="F53" s="207"/>
      <c r="G53" s="75"/>
      <c r="H53" s="75"/>
      <c r="I53" s="172"/>
      <c r="J53" s="77"/>
      <c r="K53" s="75"/>
      <c r="L53" s="75"/>
      <c r="M53" s="508">
        <v>525</v>
      </c>
      <c r="N53" s="70"/>
      <c r="O53" s="11"/>
    </row>
    <row r="54" spans="1:15" ht="12.75">
      <c r="A54" s="169">
        <v>45</v>
      </c>
      <c r="B54" s="172" t="s">
        <v>213</v>
      </c>
      <c r="C54" s="488">
        <f t="shared" si="2"/>
        <v>400</v>
      </c>
      <c r="D54" s="66"/>
      <c r="E54" s="65"/>
      <c r="F54" s="207"/>
      <c r="G54" s="75"/>
      <c r="H54" s="75"/>
      <c r="I54" s="172"/>
      <c r="J54" s="77"/>
      <c r="K54" s="75"/>
      <c r="L54" s="75"/>
      <c r="M54" s="508">
        <v>400</v>
      </c>
      <c r="N54" s="70"/>
      <c r="O54" s="11"/>
    </row>
    <row r="55" spans="1:15" ht="12.75">
      <c r="A55" s="169">
        <v>46</v>
      </c>
      <c r="B55" s="172" t="s">
        <v>59</v>
      </c>
      <c r="C55" s="488">
        <f t="shared" si="2"/>
        <v>790</v>
      </c>
      <c r="D55" s="66"/>
      <c r="E55" s="65"/>
      <c r="F55" s="207"/>
      <c r="G55" s="75"/>
      <c r="H55" s="75"/>
      <c r="I55" s="172"/>
      <c r="J55" s="77"/>
      <c r="K55" s="75"/>
      <c r="L55" s="75"/>
      <c r="M55" s="508">
        <v>790</v>
      </c>
      <c r="N55" s="70"/>
      <c r="O55" s="11"/>
    </row>
    <row r="56" spans="1:15" ht="12.75">
      <c r="A56" s="169">
        <v>47</v>
      </c>
      <c r="B56" s="172" t="s">
        <v>60</v>
      </c>
      <c r="C56" s="488">
        <f t="shared" si="2"/>
        <v>2300</v>
      </c>
      <c r="D56" s="66"/>
      <c r="E56" s="65"/>
      <c r="F56" s="207"/>
      <c r="G56" s="75"/>
      <c r="H56" s="75"/>
      <c r="I56" s="172"/>
      <c r="J56" s="77"/>
      <c r="K56" s="75"/>
      <c r="L56" s="75"/>
      <c r="M56" s="511">
        <v>2300</v>
      </c>
      <c r="N56" s="70"/>
      <c r="O56" s="11"/>
    </row>
    <row r="57" spans="1:15" ht="12.75">
      <c r="A57" s="169">
        <v>48</v>
      </c>
      <c r="B57" s="172" t="s">
        <v>214</v>
      </c>
      <c r="C57" s="488">
        <f t="shared" si="2"/>
        <v>765</v>
      </c>
      <c r="D57" s="66"/>
      <c r="E57" s="65"/>
      <c r="F57" s="207"/>
      <c r="G57" s="75"/>
      <c r="H57" s="75"/>
      <c r="I57" s="172"/>
      <c r="J57" s="77"/>
      <c r="K57" s="75"/>
      <c r="L57" s="75"/>
      <c r="M57" s="508">
        <v>765</v>
      </c>
      <c r="N57" s="70"/>
      <c r="O57" s="11"/>
    </row>
    <row r="58" spans="1:15" ht="12.75">
      <c r="A58" s="169">
        <v>49</v>
      </c>
      <c r="B58" s="172" t="s">
        <v>62</v>
      </c>
      <c r="C58" s="488">
        <f t="shared" si="2"/>
        <v>14000</v>
      </c>
      <c r="D58" s="66"/>
      <c r="E58" s="65"/>
      <c r="F58" s="207"/>
      <c r="G58" s="75"/>
      <c r="H58" s="75"/>
      <c r="I58" s="172"/>
      <c r="J58" s="77"/>
      <c r="K58" s="75"/>
      <c r="L58" s="75"/>
      <c r="M58" s="511">
        <v>14000</v>
      </c>
      <c r="N58" s="70"/>
      <c r="O58" s="11"/>
    </row>
    <row r="59" spans="1:15" ht="12.75">
      <c r="A59" s="169">
        <v>50</v>
      </c>
      <c r="B59" s="172" t="s">
        <v>63</v>
      </c>
      <c r="C59" s="487" t="str">
        <f>IF(MIN(D59:M59)=0,"No Criteria",MIN(D59:M59))</f>
        <v>No Criteria</v>
      </c>
      <c r="D59" s="66"/>
      <c r="E59" s="65"/>
      <c r="F59" s="207"/>
      <c r="G59" s="75"/>
      <c r="H59" s="75"/>
      <c r="I59" s="172"/>
      <c r="J59" s="77"/>
      <c r="K59" s="75"/>
      <c r="L59" s="75"/>
      <c r="M59" s="508"/>
      <c r="N59" s="70"/>
      <c r="O59" s="11"/>
    </row>
    <row r="60" spans="1:15" ht="12.75">
      <c r="A60" s="169">
        <v>51</v>
      </c>
      <c r="B60" s="172" t="s">
        <v>64</v>
      </c>
      <c r="C60" s="487" t="str">
        <f>IF(MIN(D60:M60)=0,"No Criteria",MIN(D60:M60))</f>
        <v>No Criteria</v>
      </c>
      <c r="D60" s="66"/>
      <c r="E60" s="65"/>
      <c r="F60" s="207"/>
      <c r="G60" s="75"/>
      <c r="H60" s="75"/>
      <c r="I60" s="172"/>
      <c r="J60" s="77"/>
      <c r="K60" s="75"/>
      <c r="L60" s="75"/>
      <c r="M60" s="508"/>
      <c r="N60" s="70"/>
      <c r="O60" s="11"/>
    </row>
    <row r="61" spans="1:15" ht="12.75">
      <c r="A61" s="169">
        <v>52</v>
      </c>
      <c r="B61" s="172" t="s">
        <v>215</v>
      </c>
      <c r="C61" s="487" t="str">
        <f>IF(MIN(D61:M61)=0,"No Criteria",MIN(D61:M61))</f>
        <v>No Criteria</v>
      </c>
      <c r="D61" s="66"/>
      <c r="E61" s="65"/>
      <c r="F61" s="207"/>
      <c r="G61" s="75"/>
      <c r="H61" s="75"/>
      <c r="I61" s="172"/>
      <c r="J61" s="77"/>
      <c r="K61" s="75"/>
      <c r="L61" s="75"/>
      <c r="M61" s="508"/>
      <c r="N61" s="70"/>
      <c r="O61" s="11"/>
    </row>
    <row r="62" spans="1:15" ht="12.75">
      <c r="A62" s="169">
        <v>53</v>
      </c>
      <c r="B62" s="172" t="s">
        <v>66</v>
      </c>
      <c r="C62" s="482">
        <f>IF(MIN(D62:M62)=0,"  No Criteria",MIN(D62:M62))</f>
        <v>7.9</v>
      </c>
      <c r="D62" s="66"/>
      <c r="E62" s="65"/>
      <c r="F62" s="207"/>
      <c r="G62" s="75"/>
      <c r="H62" s="75"/>
      <c r="I62" s="172"/>
      <c r="J62" s="181">
        <v>13</v>
      </c>
      <c r="K62" s="179">
        <v>7.9</v>
      </c>
      <c r="L62" s="179"/>
      <c r="M62" s="510">
        <v>8.2</v>
      </c>
      <c r="N62" s="70"/>
      <c r="O62" s="11"/>
    </row>
    <row r="63" spans="1:15" ht="12.75">
      <c r="A63" s="169">
        <v>54</v>
      </c>
      <c r="B63" s="172" t="s">
        <v>67</v>
      </c>
      <c r="C63" s="485">
        <f>IF(MIN(D63:M63)=0,"  No Criteria",MIN(D63:M63))</f>
        <v>4600000</v>
      </c>
      <c r="D63" s="66"/>
      <c r="E63" s="85"/>
      <c r="F63" s="207"/>
      <c r="G63" s="75"/>
      <c r="H63" s="75"/>
      <c r="I63" s="172"/>
      <c r="J63" s="77"/>
      <c r="K63" s="75"/>
      <c r="L63" s="75"/>
      <c r="M63" s="511">
        <v>4600000</v>
      </c>
      <c r="N63" s="70"/>
      <c r="O63" s="11"/>
    </row>
    <row r="64" spans="1:15" ht="12.75">
      <c r="A64" s="169">
        <v>55</v>
      </c>
      <c r="B64" s="172" t="s">
        <v>68</v>
      </c>
      <c r="C64" s="482">
        <f>IF(MIN(D64:M64)=0,"  No Criteria",MIN(D64:M64))</f>
        <v>6.5</v>
      </c>
      <c r="D64" s="66"/>
      <c r="E64" s="65"/>
      <c r="F64" s="207"/>
      <c r="G64" s="75"/>
      <c r="H64" s="75"/>
      <c r="I64" s="172"/>
      <c r="J64" s="77"/>
      <c r="K64" s="75"/>
      <c r="L64" s="75"/>
      <c r="M64" s="510">
        <v>6.5</v>
      </c>
      <c r="N64" s="70"/>
      <c r="O64" s="11"/>
    </row>
    <row r="65" spans="1:15" ht="12.75">
      <c r="A65" s="169">
        <v>56</v>
      </c>
      <c r="B65" s="172" t="s">
        <v>69</v>
      </c>
      <c r="C65" s="488">
        <f>IF(MIN(D65:M65)=0,"  No Criteria",MIN(D65:M65))</f>
        <v>2700</v>
      </c>
      <c r="D65" s="66"/>
      <c r="E65" s="65"/>
      <c r="F65" s="207"/>
      <c r="G65" s="75"/>
      <c r="H65" s="75"/>
      <c r="I65" s="172"/>
      <c r="J65" s="77"/>
      <c r="K65" s="75"/>
      <c r="L65" s="75"/>
      <c r="M65" s="511">
        <v>2700</v>
      </c>
      <c r="N65" s="70"/>
      <c r="O65" s="11"/>
    </row>
    <row r="66" spans="1:15" ht="12.75">
      <c r="A66" s="169">
        <v>57</v>
      </c>
      <c r="B66" s="172" t="s">
        <v>216</v>
      </c>
      <c r="C66" s="487" t="str">
        <f>IF(MIN(D66:M66)=0,"No Criteria",MIN(D66:M66))</f>
        <v>No Criteria</v>
      </c>
      <c r="D66" s="66"/>
      <c r="E66" s="65"/>
      <c r="F66" s="207"/>
      <c r="G66" s="75"/>
      <c r="H66" s="75"/>
      <c r="I66" s="172"/>
      <c r="J66" s="77"/>
      <c r="K66" s="75"/>
      <c r="L66" s="75"/>
      <c r="M66" s="508"/>
      <c r="N66" s="70"/>
      <c r="O66" s="11"/>
    </row>
    <row r="67" spans="1:15" ht="12.75">
      <c r="A67" s="169">
        <v>58</v>
      </c>
      <c r="B67" s="172" t="s">
        <v>71</v>
      </c>
      <c r="C67" s="488">
        <f>IF(MIN(D67:M67)=0,"  No Criteria",MIN(D67:M67))</f>
        <v>110000</v>
      </c>
      <c r="D67" s="66"/>
      <c r="E67" s="65"/>
      <c r="F67" s="207"/>
      <c r="G67" s="75"/>
      <c r="H67" s="75"/>
      <c r="I67" s="172"/>
      <c r="J67" s="77"/>
      <c r="K67" s="75"/>
      <c r="L67" s="75"/>
      <c r="M67" s="511">
        <v>110000</v>
      </c>
      <c r="N67" s="70"/>
      <c r="O67" s="11"/>
    </row>
    <row r="68" spans="1:15" ht="12.75">
      <c r="A68" s="169">
        <v>59</v>
      </c>
      <c r="B68" s="172" t="s">
        <v>72</v>
      </c>
      <c r="C68" s="489">
        <f>IF(MIN(D68:M68)=0,"  No Criteria",MIN(D68:M68))</f>
        <v>0.00054</v>
      </c>
      <c r="D68" s="66"/>
      <c r="E68" s="65"/>
      <c r="F68" s="207"/>
      <c r="G68" s="75"/>
      <c r="H68" s="75"/>
      <c r="I68" s="172"/>
      <c r="J68" s="77"/>
      <c r="K68" s="75"/>
      <c r="L68" s="75"/>
      <c r="M68" s="512">
        <v>0.00054</v>
      </c>
      <c r="N68" s="70"/>
      <c r="O68" s="11"/>
    </row>
    <row r="69" spans="1:15" s="14" customFormat="1" ht="12.75">
      <c r="A69" s="169">
        <v>60</v>
      </c>
      <c r="B69" s="172" t="s">
        <v>73</v>
      </c>
      <c r="C69" s="490">
        <f>IF(MIN(D69:M69)=0,"  No Criteria",MIN(D69:M69))</f>
        <v>0.049</v>
      </c>
      <c r="D69" s="66"/>
      <c r="E69" s="87"/>
      <c r="F69" s="208"/>
      <c r="G69" s="185"/>
      <c r="H69" s="185"/>
      <c r="I69" s="209"/>
      <c r="J69" s="184"/>
      <c r="K69" s="185"/>
      <c r="L69" s="185"/>
      <c r="M69" s="155">
        <v>0.049</v>
      </c>
      <c r="N69" s="88"/>
      <c r="O69" s="18"/>
    </row>
    <row r="70" spans="1:15" s="14" customFormat="1" ht="12.75">
      <c r="A70" s="169">
        <v>61</v>
      </c>
      <c r="B70" s="172" t="s">
        <v>74</v>
      </c>
      <c r="C70" s="490">
        <f>IF(MIN(D70:M70)=0,"  No Criteria",MIN(D70:M70))</f>
        <v>0.049</v>
      </c>
      <c r="D70" s="66"/>
      <c r="E70" s="87"/>
      <c r="F70" s="208"/>
      <c r="G70" s="185"/>
      <c r="H70" s="185"/>
      <c r="I70" s="209"/>
      <c r="J70" s="184"/>
      <c r="K70" s="185"/>
      <c r="L70" s="185"/>
      <c r="M70" s="155">
        <v>0.049</v>
      </c>
      <c r="N70" s="88"/>
      <c r="O70" s="18"/>
    </row>
    <row r="71" spans="1:15" s="14" customFormat="1" ht="12.75">
      <c r="A71" s="169">
        <v>62</v>
      </c>
      <c r="B71" s="172" t="s">
        <v>75</v>
      </c>
      <c r="C71" s="490">
        <f>IF(MIN(D71:M71)=0,"  No Criteria",MIN(D71:M71))</f>
        <v>0.049</v>
      </c>
      <c r="D71" s="66"/>
      <c r="E71" s="87"/>
      <c r="F71" s="208"/>
      <c r="G71" s="185"/>
      <c r="H71" s="185"/>
      <c r="I71" s="209"/>
      <c r="J71" s="184"/>
      <c r="K71" s="185"/>
      <c r="L71" s="185"/>
      <c r="M71" s="155">
        <v>0.049</v>
      </c>
      <c r="N71" s="88"/>
      <c r="O71" s="18"/>
    </row>
    <row r="72" spans="1:15" ht="12.75">
      <c r="A72" s="169">
        <v>63</v>
      </c>
      <c r="B72" s="172" t="s">
        <v>76</v>
      </c>
      <c r="C72" s="487" t="str">
        <f>IF(MIN(D72:M72)=0,"No Criteria",MIN(D72:M72))</f>
        <v>No Criteria</v>
      </c>
      <c r="D72" s="66"/>
      <c r="E72" s="65"/>
      <c r="F72" s="207"/>
      <c r="G72" s="75"/>
      <c r="H72" s="75"/>
      <c r="I72" s="172"/>
      <c r="J72" s="77"/>
      <c r="K72" s="75"/>
      <c r="L72" s="75"/>
      <c r="M72" s="76"/>
      <c r="N72" s="70"/>
      <c r="O72" s="11"/>
    </row>
    <row r="73" spans="1:15" s="14" customFormat="1" ht="12.75">
      <c r="A73" s="169">
        <v>64</v>
      </c>
      <c r="B73" s="172" t="s">
        <v>77</v>
      </c>
      <c r="C73" s="490">
        <f>IF(MIN(D73:M73)=0,"  No Criteria",MIN(D73:M73))</f>
        <v>0.049</v>
      </c>
      <c r="D73" s="66"/>
      <c r="E73" s="87"/>
      <c r="F73" s="208"/>
      <c r="G73" s="185"/>
      <c r="H73" s="185"/>
      <c r="I73" s="209"/>
      <c r="J73" s="184"/>
      <c r="K73" s="185"/>
      <c r="L73" s="185"/>
      <c r="M73" s="155">
        <v>0.049</v>
      </c>
      <c r="N73" s="88"/>
      <c r="O73" s="18"/>
    </row>
    <row r="74" spans="1:15" ht="12.75">
      <c r="A74" s="169">
        <v>65</v>
      </c>
      <c r="B74" s="172" t="s">
        <v>78</v>
      </c>
      <c r="C74" s="487" t="str">
        <f>IF(MIN(D74:M74)=0,"No Criteria",MIN(D74:M74))</f>
        <v>No Criteria</v>
      </c>
      <c r="D74" s="66"/>
      <c r="E74" s="65"/>
      <c r="F74" s="207"/>
      <c r="G74" s="75"/>
      <c r="H74" s="75"/>
      <c r="I74" s="172"/>
      <c r="J74" s="77"/>
      <c r="K74" s="75"/>
      <c r="L74" s="75"/>
      <c r="M74" s="76"/>
      <c r="N74" s="70"/>
      <c r="O74" s="11"/>
    </row>
    <row r="75" spans="1:15" ht="12.75">
      <c r="A75" s="169">
        <v>66</v>
      </c>
      <c r="B75" s="172" t="s">
        <v>79</v>
      </c>
      <c r="C75" s="482">
        <f>IF(MIN(D75:M75)=0,"  No Criteria",MIN(D75:M75))</f>
        <v>1.4</v>
      </c>
      <c r="D75" s="66"/>
      <c r="E75" s="65"/>
      <c r="F75" s="207"/>
      <c r="G75" s="75"/>
      <c r="H75" s="75"/>
      <c r="I75" s="172"/>
      <c r="J75" s="77"/>
      <c r="K75" s="75"/>
      <c r="L75" s="75"/>
      <c r="M75" s="510">
        <v>1.4</v>
      </c>
      <c r="N75" s="70"/>
      <c r="O75" s="11"/>
    </row>
    <row r="76" spans="1:15" ht="12.75">
      <c r="A76" s="169">
        <v>67</v>
      </c>
      <c r="B76" s="172" t="s">
        <v>80</v>
      </c>
      <c r="C76" s="488">
        <f>IF(MIN(D76:M76)=0,"  No Criteria",MIN(D76:M76))</f>
        <v>170000</v>
      </c>
      <c r="D76" s="66"/>
      <c r="E76" s="65"/>
      <c r="F76" s="207"/>
      <c r="G76" s="75"/>
      <c r="H76" s="75"/>
      <c r="I76" s="172"/>
      <c r="J76" s="77"/>
      <c r="K76" s="75"/>
      <c r="L76" s="75"/>
      <c r="M76" s="511">
        <v>170000</v>
      </c>
      <c r="N76" s="70"/>
      <c r="O76" s="11"/>
    </row>
    <row r="77" spans="1:15" ht="12.75">
      <c r="A77" s="169">
        <v>68</v>
      </c>
      <c r="B77" s="172" t="s">
        <v>81</v>
      </c>
      <c r="C77" s="482">
        <f>IF(MIN(D77:M77)=0,"  No Criteria",MIN(D77:M77))</f>
        <v>5.9</v>
      </c>
      <c r="D77" s="66"/>
      <c r="E77" s="65"/>
      <c r="F77" s="207"/>
      <c r="G77" s="75"/>
      <c r="H77" s="75"/>
      <c r="I77" s="172"/>
      <c r="J77" s="77"/>
      <c r="K77" s="75"/>
      <c r="L77" s="75"/>
      <c r="M77" s="510">
        <v>5.9</v>
      </c>
      <c r="N77" s="70"/>
      <c r="O77" s="11"/>
    </row>
    <row r="78" spans="1:15" ht="12.75">
      <c r="A78" s="169">
        <v>69</v>
      </c>
      <c r="B78" s="172" t="s">
        <v>82</v>
      </c>
      <c r="C78" s="487" t="str">
        <f>IF(MIN(D78:M78)=0,"No Criteria",MIN(D78:M78))</f>
        <v>No Criteria</v>
      </c>
      <c r="D78" s="66"/>
      <c r="E78" s="65"/>
      <c r="F78" s="207"/>
      <c r="G78" s="75"/>
      <c r="H78" s="75"/>
      <c r="I78" s="172"/>
      <c r="J78" s="77"/>
      <c r="K78" s="75"/>
      <c r="L78" s="75"/>
      <c r="M78" s="76"/>
      <c r="N78" s="70"/>
      <c r="O78" s="11"/>
    </row>
    <row r="79" spans="1:15" ht="12.75">
      <c r="A79" s="169">
        <v>70</v>
      </c>
      <c r="B79" s="172" t="s">
        <v>83</v>
      </c>
      <c r="C79" s="488">
        <f>IF(MIN(D79:M79)=0,"  No Criteria",MIN(D79:M79))</f>
        <v>5200</v>
      </c>
      <c r="D79" s="66"/>
      <c r="E79" s="65"/>
      <c r="F79" s="207"/>
      <c r="G79" s="75"/>
      <c r="H79" s="75"/>
      <c r="I79" s="172"/>
      <c r="J79" s="77"/>
      <c r="K79" s="75"/>
      <c r="L79" s="75"/>
      <c r="M79" s="511">
        <v>5200</v>
      </c>
      <c r="N79" s="70"/>
      <c r="O79" s="11"/>
    </row>
    <row r="80" spans="1:15" ht="12.75">
      <c r="A80" s="169">
        <v>71</v>
      </c>
      <c r="B80" s="172" t="s">
        <v>84</v>
      </c>
      <c r="C80" s="488">
        <f>IF(MIN(D80:M80)=0,"  No Criteria",MIN(D80:M80))</f>
        <v>4300</v>
      </c>
      <c r="D80" s="66"/>
      <c r="E80" s="65"/>
      <c r="F80" s="207"/>
      <c r="G80" s="75"/>
      <c r="H80" s="75"/>
      <c r="I80" s="172"/>
      <c r="J80" s="77"/>
      <c r="K80" s="75"/>
      <c r="L80" s="75"/>
      <c r="M80" s="511">
        <v>4300</v>
      </c>
      <c r="N80" s="70"/>
      <c r="O80" s="11"/>
    </row>
    <row r="81" spans="1:15" ht="12.75">
      <c r="A81" s="169">
        <v>72</v>
      </c>
      <c r="B81" s="172" t="s">
        <v>85</v>
      </c>
      <c r="C81" s="487" t="str">
        <f>IF(MIN(D81:M81)=0,"No Criteria",MIN(D81:M81))</f>
        <v>No Criteria</v>
      </c>
      <c r="D81" s="66"/>
      <c r="E81" s="65"/>
      <c r="F81" s="207"/>
      <c r="G81" s="75"/>
      <c r="H81" s="75"/>
      <c r="I81" s="172"/>
      <c r="J81" s="77"/>
      <c r="K81" s="75"/>
      <c r="L81" s="75"/>
      <c r="M81" s="76"/>
      <c r="N81" s="70"/>
      <c r="O81" s="11"/>
    </row>
    <row r="82" spans="1:15" s="14" customFormat="1" ht="12.75">
      <c r="A82" s="174">
        <v>73</v>
      </c>
      <c r="B82" s="172" t="s">
        <v>86</v>
      </c>
      <c r="C82" s="490">
        <f aca="true" t="shared" si="3" ref="C82:C91">IF(MIN(D82:M82)=0,"  No Criteria",MIN(D82:M82))</f>
        <v>0.049</v>
      </c>
      <c r="D82" s="66"/>
      <c r="E82" s="87"/>
      <c r="F82" s="208"/>
      <c r="G82" s="185"/>
      <c r="H82" s="185"/>
      <c r="I82" s="209"/>
      <c r="J82" s="184"/>
      <c r="K82" s="185"/>
      <c r="L82" s="185"/>
      <c r="M82" s="155">
        <v>0.049</v>
      </c>
      <c r="N82" s="88"/>
      <c r="O82" s="18"/>
    </row>
    <row r="83" spans="1:15" s="14" customFormat="1" ht="12.75">
      <c r="A83" s="174">
        <v>74</v>
      </c>
      <c r="B83" s="172" t="s">
        <v>87</v>
      </c>
      <c r="C83" s="490">
        <f t="shared" si="3"/>
        <v>0.049</v>
      </c>
      <c r="D83" s="66"/>
      <c r="E83" s="87"/>
      <c r="F83" s="208"/>
      <c r="G83" s="185"/>
      <c r="H83" s="185"/>
      <c r="I83" s="209"/>
      <c r="J83" s="184"/>
      <c r="K83" s="185"/>
      <c r="L83" s="185"/>
      <c r="M83" s="155">
        <v>0.049</v>
      </c>
      <c r="N83" s="88"/>
      <c r="O83" s="18"/>
    </row>
    <row r="84" spans="1:15" ht="12.75">
      <c r="A84" s="169">
        <v>75</v>
      </c>
      <c r="B84" s="172" t="s">
        <v>88</v>
      </c>
      <c r="C84" s="488">
        <f t="shared" si="3"/>
        <v>17000</v>
      </c>
      <c r="D84" s="66"/>
      <c r="E84" s="65"/>
      <c r="F84" s="207"/>
      <c r="G84" s="75"/>
      <c r="H84" s="75"/>
      <c r="I84" s="172"/>
      <c r="J84" s="77"/>
      <c r="K84" s="75"/>
      <c r="L84" s="75"/>
      <c r="M84" s="511">
        <v>17000</v>
      </c>
      <c r="N84" s="70"/>
      <c r="O84" s="11"/>
    </row>
    <row r="85" spans="1:15" ht="12.75">
      <c r="A85" s="169">
        <v>76</v>
      </c>
      <c r="B85" s="172" t="s">
        <v>89</v>
      </c>
      <c r="C85" s="488">
        <f t="shared" si="3"/>
        <v>2600</v>
      </c>
      <c r="D85" s="66"/>
      <c r="E85" s="65"/>
      <c r="F85" s="207"/>
      <c r="G85" s="75"/>
      <c r="H85" s="75"/>
      <c r="I85" s="172"/>
      <c r="J85" s="77"/>
      <c r="K85" s="75"/>
      <c r="L85" s="75"/>
      <c r="M85" s="511">
        <v>2600</v>
      </c>
      <c r="N85" s="70"/>
      <c r="O85" s="11"/>
    </row>
    <row r="86" spans="1:15" ht="12.75">
      <c r="A86" s="169">
        <v>77</v>
      </c>
      <c r="B86" s="172" t="s">
        <v>90</v>
      </c>
      <c r="C86" s="488">
        <f t="shared" si="3"/>
        <v>2600</v>
      </c>
      <c r="D86" s="66"/>
      <c r="E86" s="65"/>
      <c r="F86" s="207"/>
      <c r="G86" s="75"/>
      <c r="H86" s="75"/>
      <c r="I86" s="172"/>
      <c r="J86" s="77"/>
      <c r="K86" s="75"/>
      <c r="L86" s="75"/>
      <c r="M86" s="511">
        <v>2600</v>
      </c>
      <c r="N86" s="70"/>
      <c r="O86" s="11"/>
    </row>
    <row r="87" spans="1:15" ht="12.75">
      <c r="A87" s="169">
        <v>78</v>
      </c>
      <c r="B87" s="172" t="s">
        <v>217</v>
      </c>
      <c r="C87" s="490">
        <f t="shared" si="3"/>
        <v>0.077</v>
      </c>
      <c r="D87" s="66"/>
      <c r="E87" s="65"/>
      <c r="F87" s="207"/>
      <c r="G87" s="75"/>
      <c r="H87" s="75"/>
      <c r="I87" s="172"/>
      <c r="J87" s="77"/>
      <c r="K87" s="75"/>
      <c r="L87" s="75"/>
      <c r="M87" s="155">
        <v>0.077</v>
      </c>
      <c r="N87" s="70"/>
      <c r="O87" s="11"/>
    </row>
    <row r="88" spans="1:15" ht="12.75">
      <c r="A88" s="169">
        <v>79</v>
      </c>
      <c r="B88" s="172" t="s">
        <v>92</v>
      </c>
      <c r="C88" s="488">
        <f t="shared" si="3"/>
        <v>120000</v>
      </c>
      <c r="D88" s="66"/>
      <c r="E88" s="65"/>
      <c r="F88" s="207"/>
      <c r="G88" s="75"/>
      <c r="H88" s="75"/>
      <c r="I88" s="172"/>
      <c r="J88" s="77"/>
      <c r="K88" s="75"/>
      <c r="L88" s="75"/>
      <c r="M88" s="511">
        <v>120000</v>
      </c>
      <c r="N88" s="70"/>
      <c r="O88" s="11"/>
    </row>
    <row r="89" spans="1:15" ht="12.75">
      <c r="A89" s="169">
        <v>80</v>
      </c>
      <c r="B89" s="172" t="s">
        <v>93</v>
      </c>
      <c r="C89" s="488">
        <f t="shared" si="3"/>
        <v>2900000</v>
      </c>
      <c r="D89" s="66"/>
      <c r="E89" s="65"/>
      <c r="F89" s="207"/>
      <c r="G89" s="75"/>
      <c r="H89" s="75"/>
      <c r="I89" s="172"/>
      <c r="J89" s="77"/>
      <c r="K89" s="75"/>
      <c r="L89" s="75"/>
      <c r="M89" s="511">
        <v>2900000</v>
      </c>
      <c r="N89" s="70"/>
      <c r="O89" s="11"/>
    </row>
    <row r="90" spans="1:15" ht="12.75">
      <c r="A90" s="169">
        <v>81</v>
      </c>
      <c r="B90" s="172" t="s">
        <v>94</v>
      </c>
      <c r="C90" s="488">
        <f t="shared" si="3"/>
        <v>12000</v>
      </c>
      <c r="D90" s="66"/>
      <c r="E90" s="65"/>
      <c r="F90" s="207"/>
      <c r="G90" s="75"/>
      <c r="H90" s="75"/>
      <c r="I90" s="172"/>
      <c r="J90" s="77"/>
      <c r="K90" s="75"/>
      <c r="L90" s="75"/>
      <c r="M90" s="511">
        <v>12000</v>
      </c>
      <c r="N90" s="70"/>
      <c r="O90" s="11"/>
    </row>
    <row r="91" spans="1:15" ht="12.75">
      <c r="A91" s="169">
        <v>82</v>
      </c>
      <c r="B91" s="172" t="s">
        <v>95</v>
      </c>
      <c r="C91" s="482">
        <f t="shared" si="3"/>
        <v>9.1</v>
      </c>
      <c r="D91" s="66"/>
      <c r="E91" s="65"/>
      <c r="F91" s="207"/>
      <c r="G91" s="75"/>
      <c r="H91" s="75"/>
      <c r="I91" s="172"/>
      <c r="J91" s="77"/>
      <c r="K91" s="75"/>
      <c r="L91" s="75"/>
      <c r="M91" s="510">
        <v>9.1</v>
      </c>
      <c r="N91" s="70"/>
      <c r="O91" s="11"/>
    </row>
    <row r="92" spans="1:15" ht="12.75">
      <c r="A92" s="169">
        <v>83</v>
      </c>
      <c r="B92" s="172" t="s">
        <v>96</v>
      </c>
      <c r="C92" s="487" t="str">
        <f>IF(MIN(D92:M92)=0,"No Criteria",MIN(D92:M92))</f>
        <v>No Criteria</v>
      </c>
      <c r="D92" s="66"/>
      <c r="E92" s="65"/>
      <c r="F92" s="207"/>
      <c r="G92" s="75"/>
      <c r="H92" s="75"/>
      <c r="I92" s="172"/>
      <c r="J92" s="77"/>
      <c r="K92" s="75"/>
      <c r="L92" s="75"/>
      <c r="M92" s="76"/>
      <c r="N92" s="70"/>
      <c r="O92" s="11"/>
    </row>
    <row r="93" spans="1:15" ht="12.75">
      <c r="A93" s="169">
        <v>84</v>
      </c>
      <c r="B93" s="172" t="s">
        <v>97</v>
      </c>
      <c r="C93" s="487" t="str">
        <f>IF(MIN(D93:M93)=0,"No Criteria",MIN(D93:M93))</f>
        <v>No Criteria</v>
      </c>
      <c r="D93" s="66"/>
      <c r="E93" s="65"/>
      <c r="F93" s="207"/>
      <c r="G93" s="75"/>
      <c r="H93" s="75"/>
      <c r="I93" s="172"/>
      <c r="J93" s="77"/>
      <c r="K93" s="75"/>
      <c r="L93" s="75"/>
      <c r="M93" s="76"/>
      <c r="N93" s="70"/>
      <c r="O93" s="11"/>
    </row>
    <row r="94" spans="1:15" ht="12.75">
      <c r="A94" s="169">
        <v>85</v>
      </c>
      <c r="B94" s="172" t="s">
        <v>98</v>
      </c>
      <c r="C94" s="482">
        <f aca="true" t="shared" si="4" ref="C94:C102">IF(MIN(D94:M94)=0,"  No Criteria",MIN(D94:M94))</f>
        <v>0.54</v>
      </c>
      <c r="D94" s="66"/>
      <c r="E94" s="65"/>
      <c r="F94" s="207"/>
      <c r="G94" s="75"/>
      <c r="H94" s="75"/>
      <c r="I94" s="172"/>
      <c r="J94" s="77"/>
      <c r="K94" s="75"/>
      <c r="L94" s="75"/>
      <c r="M94" s="509">
        <v>0.54</v>
      </c>
      <c r="N94" s="70"/>
      <c r="O94" s="11"/>
    </row>
    <row r="95" spans="1:15" ht="12.75">
      <c r="A95" s="169">
        <v>86</v>
      </c>
      <c r="B95" s="172" t="s">
        <v>99</v>
      </c>
      <c r="C95" s="488">
        <f t="shared" si="4"/>
        <v>370</v>
      </c>
      <c r="D95" s="66"/>
      <c r="E95" s="65"/>
      <c r="F95" s="207"/>
      <c r="G95" s="75"/>
      <c r="H95" s="75"/>
      <c r="I95" s="172"/>
      <c r="J95" s="77"/>
      <c r="K95" s="75"/>
      <c r="L95" s="75"/>
      <c r="M95" s="508">
        <v>370</v>
      </c>
      <c r="N95" s="70"/>
      <c r="O95" s="11"/>
    </row>
    <row r="96" spans="1:15" ht="12.75">
      <c r="A96" s="169">
        <v>87</v>
      </c>
      <c r="B96" s="172" t="s">
        <v>100</v>
      </c>
      <c r="C96" s="488">
        <f t="shared" si="4"/>
        <v>14000</v>
      </c>
      <c r="D96" s="66"/>
      <c r="E96" s="65"/>
      <c r="F96" s="207"/>
      <c r="G96" s="75"/>
      <c r="H96" s="75"/>
      <c r="I96" s="172"/>
      <c r="J96" s="77"/>
      <c r="K96" s="75"/>
      <c r="L96" s="75"/>
      <c r="M96" s="511">
        <v>14000</v>
      </c>
      <c r="N96" s="70"/>
      <c r="O96" s="11"/>
    </row>
    <row r="97" spans="1:15" ht="12.75">
      <c r="A97" s="169">
        <v>88</v>
      </c>
      <c r="B97" s="172" t="s">
        <v>101</v>
      </c>
      <c r="C97" s="489">
        <f t="shared" si="4"/>
        <v>0.00077</v>
      </c>
      <c r="D97" s="66"/>
      <c r="E97" s="65"/>
      <c r="F97" s="207"/>
      <c r="G97" s="75"/>
      <c r="H97" s="75"/>
      <c r="I97" s="172"/>
      <c r="J97" s="77"/>
      <c r="K97" s="75"/>
      <c r="L97" s="75"/>
      <c r="M97" s="512">
        <v>0.00077</v>
      </c>
      <c r="N97" s="70"/>
      <c r="O97" s="11"/>
    </row>
    <row r="98" spans="1:15" ht="12.75">
      <c r="A98" s="169">
        <v>89</v>
      </c>
      <c r="B98" s="172" t="s">
        <v>102</v>
      </c>
      <c r="C98" s="485">
        <f t="shared" si="4"/>
        <v>50</v>
      </c>
      <c r="D98" s="66"/>
      <c r="E98" s="65"/>
      <c r="F98" s="207"/>
      <c r="G98" s="75"/>
      <c r="H98" s="75"/>
      <c r="I98" s="172"/>
      <c r="J98" s="77"/>
      <c r="K98" s="75"/>
      <c r="L98" s="75"/>
      <c r="M98" s="508">
        <v>50</v>
      </c>
      <c r="N98" s="70"/>
      <c r="O98" s="11"/>
    </row>
    <row r="99" spans="1:15" ht="12.75">
      <c r="A99" s="169">
        <v>90</v>
      </c>
      <c r="B99" s="172" t="s">
        <v>103</v>
      </c>
      <c r="C99" s="488">
        <f t="shared" si="4"/>
        <v>17000</v>
      </c>
      <c r="D99" s="66"/>
      <c r="E99" s="65"/>
      <c r="F99" s="207"/>
      <c r="G99" s="75"/>
      <c r="H99" s="75"/>
      <c r="I99" s="172"/>
      <c r="J99" s="77"/>
      <c r="K99" s="75"/>
      <c r="L99" s="75"/>
      <c r="M99" s="511">
        <v>17000</v>
      </c>
      <c r="N99" s="70"/>
      <c r="O99" s="11"/>
    </row>
    <row r="100" spans="1:15" ht="12.75">
      <c r="A100" s="169">
        <v>91</v>
      </c>
      <c r="B100" s="172" t="s">
        <v>104</v>
      </c>
      <c r="C100" s="482">
        <f t="shared" si="4"/>
        <v>8.9</v>
      </c>
      <c r="D100" s="66"/>
      <c r="E100" s="65"/>
      <c r="F100" s="207"/>
      <c r="G100" s="75"/>
      <c r="H100" s="75"/>
      <c r="I100" s="172"/>
      <c r="J100" s="77"/>
      <c r="K100" s="75"/>
      <c r="L100" s="75"/>
      <c r="M100" s="510">
        <v>8.9</v>
      </c>
      <c r="N100" s="70"/>
      <c r="O100" s="11"/>
    </row>
    <row r="101" spans="1:15" s="14" customFormat="1" ht="12.75">
      <c r="A101" s="169">
        <v>92</v>
      </c>
      <c r="B101" s="172" t="s">
        <v>218</v>
      </c>
      <c r="C101" s="490">
        <f t="shared" si="4"/>
        <v>0.049</v>
      </c>
      <c r="D101" s="66"/>
      <c r="E101" s="87"/>
      <c r="F101" s="208"/>
      <c r="G101" s="185"/>
      <c r="H101" s="185"/>
      <c r="I101" s="209"/>
      <c r="J101" s="184"/>
      <c r="K101" s="185"/>
      <c r="L101" s="185"/>
      <c r="M101" s="155">
        <v>0.049</v>
      </c>
      <c r="N101" s="88"/>
      <c r="O101" s="18"/>
    </row>
    <row r="102" spans="1:15" ht="12.75">
      <c r="A102" s="169">
        <v>93</v>
      </c>
      <c r="B102" s="172" t="s">
        <v>106</v>
      </c>
      <c r="C102" s="485">
        <f t="shared" si="4"/>
        <v>600</v>
      </c>
      <c r="D102" s="66"/>
      <c r="E102" s="65"/>
      <c r="F102" s="207"/>
      <c r="G102" s="75"/>
      <c r="H102" s="75"/>
      <c r="I102" s="172"/>
      <c r="J102" s="77"/>
      <c r="K102" s="75"/>
      <c r="L102" s="75"/>
      <c r="M102" s="508">
        <v>600</v>
      </c>
      <c r="N102" s="70"/>
      <c r="O102" s="11"/>
    </row>
    <row r="103" spans="1:15" ht="12.75">
      <c r="A103" s="169">
        <v>94</v>
      </c>
      <c r="B103" s="172" t="s">
        <v>219</v>
      </c>
      <c r="C103" s="487" t="str">
        <f>IF(MIN(D103:M103)=0,"No Criteria",MIN(D103:M103))</f>
        <v>No Criteria</v>
      </c>
      <c r="D103" s="66"/>
      <c r="E103" s="65"/>
      <c r="F103" s="207"/>
      <c r="G103" s="75"/>
      <c r="H103" s="75"/>
      <c r="I103" s="172"/>
      <c r="J103" s="77"/>
      <c r="K103" s="75"/>
      <c r="L103" s="75"/>
      <c r="M103" s="76"/>
      <c r="N103" s="70"/>
      <c r="O103" s="11"/>
    </row>
    <row r="104" spans="1:15" ht="12.75">
      <c r="A104" s="169">
        <v>95</v>
      </c>
      <c r="B104" s="172" t="s">
        <v>108</v>
      </c>
      <c r="C104" s="488">
        <f>IF(MIN(D104:M104)=0,"  No Criteria",MIN(D104:M104))</f>
        <v>1900</v>
      </c>
      <c r="D104" s="66"/>
      <c r="E104" s="65"/>
      <c r="F104" s="207"/>
      <c r="G104" s="75"/>
      <c r="H104" s="75"/>
      <c r="I104" s="172"/>
      <c r="J104" s="77"/>
      <c r="K104" s="75"/>
      <c r="L104" s="75"/>
      <c r="M104" s="511">
        <v>1900</v>
      </c>
      <c r="N104" s="70"/>
      <c r="O104" s="11"/>
    </row>
    <row r="105" spans="1:15" ht="12.75">
      <c r="A105" s="169">
        <v>96</v>
      </c>
      <c r="B105" s="172" t="s">
        <v>109</v>
      </c>
      <c r="C105" s="482">
        <f>IF(MIN(D105:M105)=0,"  No Criteria",MIN(D105:M105))</f>
        <v>8.1</v>
      </c>
      <c r="D105" s="66"/>
      <c r="E105" s="65"/>
      <c r="F105" s="207"/>
      <c r="G105" s="75"/>
      <c r="H105" s="75"/>
      <c r="I105" s="172"/>
      <c r="J105" s="77"/>
      <c r="K105" s="75"/>
      <c r="L105" s="75"/>
      <c r="M105" s="510">
        <v>8.1</v>
      </c>
      <c r="N105" s="70"/>
      <c r="O105" s="11"/>
    </row>
    <row r="106" spans="1:15" ht="12.75">
      <c r="A106" s="169">
        <v>97</v>
      </c>
      <c r="B106" s="172" t="s">
        <v>110</v>
      </c>
      <c r="C106" s="482">
        <f>IF(MIN(D106:M106)=0,"  No Criteria",MIN(D106:M106))</f>
        <v>1.4</v>
      </c>
      <c r="D106" s="66"/>
      <c r="E106" s="65"/>
      <c r="F106" s="207"/>
      <c r="G106" s="75"/>
      <c r="H106" s="75"/>
      <c r="I106" s="172"/>
      <c r="J106" s="77"/>
      <c r="K106" s="75"/>
      <c r="L106" s="75"/>
      <c r="M106" s="510">
        <v>1.4</v>
      </c>
      <c r="N106" s="70"/>
      <c r="O106" s="11"/>
    </row>
    <row r="107" spans="1:15" ht="12.75">
      <c r="A107" s="169">
        <v>98</v>
      </c>
      <c r="B107" s="172" t="s">
        <v>111</v>
      </c>
      <c r="C107" s="485">
        <f>IF(MIN(D107:M107)=0,"  No Criteria",MIN(D107:M107))</f>
        <v>16</v>
      </c>
      <c r="D107" s="66"/>
      <c r="E107" s="65"/>
      <c r="F107" s="207"/>
      <c r="G107" s="75"/>
      <c r="H107" s="75"/>
      <c r="I107" s="172"/>
      <c r="J107" s="77"/>
      <c r="K107" s="75"/>
      <c r="L107" s="75"/>
      <c r="M107" s="508">
        <v>16</v>
      </c>
      <c r="N107" s="70"/>
      <c r="O107" s="11"/>
    </row>
    <row r="108" spans="1:15" ht="12.75">
      <c r="A108" s="169">
        <v>99</v>
      </c>
      <c r="B108" s="172" t="s">
        <v>112</v>
      </c>
      <c r="C108" s="487" t="str">
        <f>IF(MIN(D108:M108)=0,"No Criteria",MIN(D108:M108))</f>
        <v>No Criteria</v>
      </c>
      <c r="D108" s="66"/>
      <c r="E108" s="65"/>
      <c r="F108" s="207"/>
      <c r="G108" s="75"/>
      <c r="H108" s="75"/>
      <c r="I108" s="172"/>
      <c r="J108" s="77"/>
      <c r="K108" s="75"/>
      <c r="L108" s="75"/>
      <c r="M108" s="508"/>
      <c r="N108" s="70"/>
      <c r="O108" s="11"/>
    </row>
    <row r="109" spans="1:15" ht="12.75">
      <c r="A109" s="169">
        <v>100</v>
      </c>
      <c r="B109" s="172" t="s">
        <v>113</v>
      </c>
      <c r="C109" s="488">
        <f>IF(MIN(D109:M109)=0,"  No Criteria",MIN(D109:M109))</f>
        <v>11000</v>
      </c>
      <c r="D109" s="66"/>
      <c r="E109" s="65"/>
      <c r="F109" s="207"/>
      <c r="G109" s="75"/>
      <c r="H109" s="75"/>
      <c r="I109" s="172"/>
      <c r="J109" s="77"/>
      <c r="K109" s="75"/>
      <c r="L109" s="75"/>
      <c r="M109" s="511">
        <v>11000</v>
      </c>
      <c r="N109" s="70"/>
      <c r="O109" s="11"/>
    </row>
    <row r="110" spans="1:15" ht="12.75">
      <c r="A110" s="169">
        <v>101</v>
      </c>
      <c r="B110" s="172" t="s">
        <v>114</v>
      </c>
      <c r="C110" s="487" t="str">
        <f>IF(MIN(D110:M110)=0,"No Criteria",MIN(D110:M110))</f>
        <v>No Criteria</v>
      </c>
      <c r="D110" s="66"/>
      <c r="E110" s="65"/>
      <c r="F110" s="207"/>
      <c r="G110" s="75"/>
      <c r="H110" s="75"/>
      <c r="I110" s="172"/>
      <c r="J110" s="77"/>
      <c r="K110" s="75"/>
      <c r="L110" s="75"/>
      <c r="M110" s="76"/>
      <c r="N110" s="70"/>
      <c r="O110" s="11"/>
    </row>
    <row r="111" spans="1:15" ht="12.75">
      <c r="A111" s="169">
        <v>102</v>
      </c>
      <c r="B111" s="172" t="s">
        <v>115</v>
      </c>
      <c r="C111" s="489">
        <f>IF(MIN(D111:M111)=0,"  No Criteria",MIN(D111:M111))</f>
        <v>0.00014</v>
      </c>
      <c r="D111" s="66"/>
      <c r="E111" s="65"/>
      <c r="F111" s="207"/>
      <c r="G111" s="75"/>
      <c r="H111" s="75"/>
      <c r="I111" s="172"/>
      <c r="J111" s="180">
        <v>1.3</v>
      </c>
      <c r="K111" s="75"/>
      <c r="L111" s="75"/>
      <c r="M111" s="512">
        <v>0.00014</v>
      </c>
      <c r="N111" s="70"/>
      <c r="O111" s="11"/>
    </row>
    <row r="112" spans="1:15" ht="12.75">
      <c r="A112" s="169">
        <v>103</v>
      </c>
      <c r="B112" s="172" t="s">
        <v>116</v>
      </c>
      <c r="C112" s="490">
        <f>IF(MIN(D112:M112)=0,"  No Criteria",MIN(D112:M112))</f>
        <v>0.013</v>
      </c>
      <c r="D112" s="66"/>
      <c r="E112" s="65"/>
      <c r="F112" s="207"/>
      <c r="G112" s="75"/>
      <c r="H112" s="75"/>
      <c r="I112" s="172"/>
      <c r="J112" s="77"/>
      <c r="K112" s="75"/>
      <c r="L112" s="75"/>
      <c r="M112" s="155">
        <v>0.013</v>
      </c>
      <c r="N112" s="70"/>
      <c r="O112" s="11"/>
    </row>
    <row r="113" spans="1:15" ht="12.75">
      <c r="A113" s="169">
        <v>104</v>
      </c>
      <c r="B113" s="172" t="s">
        <v>117</v>
      </c>
      <c r="C113" s="490">
        <f>IF(MIN(D113:M113)=0,"  No Criteria",MIN(D113:M113))</f>
        <v>0.046</v>
      </c>
      <c r="D113" s="66"/>
      <c r="E113" s="65"/>
      <c r="F113" s="207"/>
      <c r="G113" s="75"/>
      <c r="H113" s="75"/>
      <c r="I113" s="172"/>
      <c r="J113" s="77"/>
      <c r="K113" s="75"/>
      <c r="L113" s="75"/>
      <c r="M113" s="155">
        <v>0.046</v>
      </c>
      <c r="N113" s="70"/>
      <c r="O113" s="11"/>
    </row>
    <row r="114" spans="1:15" ht="12.75">
      <c r="A114" s="169">
        <v>105</v>
      </c>
      <c r="B114" s="172" t="s">
        <v>118</v>
      </c>
      <c r="C114" s="490">
        <f>IF(MIN(D114:M114)=0,"  No Criteria",MIN(D114:M114))</f>
        <v>0.063</v>
      </c>
      <c r="D114" s="66"/>
      <c r="E114" s="65"/>
      <c r="F114" s="207"/>
      <c r="G114" s="75"/>
      <c r="H114" s="75"/>
      <c r="I114" s="172"/>
      <c r="J114" s="215">
        <v>0.16</v>
      </c>
      <c r="K114" s="75"/>
      <c r="L114" s="75"/>
      <c r="M114" s="155">
        <v>0.063</v>
      </c>
      <c r="N114" s="70"/>
      <c r="O114" s="11"/>
    </row>
    <row r="115" spans="1:15" ht="12.75">
      <c r="A115" s="169">
        <v>106</v>
      </c>
      <c r="B115" s="172" t="s">
        <v>119</v>
      </c>
      <c r="C115" s="487" t="str">
        <f>IF(MIN(D115:M115)=0,"No Criteria",MIN(D115:M115))</f>
        <v>No Criteria</v>
      </c>
      <c r="D115" s="66"/>
      <c r="E115" s="65"/>
      <c r="F115" s="207"/>
      <c r="G115" s="75"/>
      <c r="H115" s="75"/>
      <c r="I115" s="172"/>
      <c r="J115" s="77"/>
      <c r="K115" s="75"/>
      <c r="L115" s="75"/>
      <c r="M115" s="76"/>
      <c r="N115" s="70"/>
      <c r="O115" s="11"/>
    </row>
    <row r="116" spans="1:15" ht="12.75">
      <c r="A116" s="169">
        <v>107</v>
      </c>
      <c r="B116" s="172" t="s">
        <v>220</v>
      </c>
      <c r="C116" s="489">
        <f aca="true" t="shared" si="5" ref="C116:C131">IF(MIN(D116:M116)=0,"  No Criteria",MIN(D116:M116))</f>
        <v>0.00059</v>
      </c>
      <c r="D116" s="82"/>
      <c r="E116" s="65"/>
      <c r="F116" s="207"/>
      <c r="G116" s="75"/>
      <c r="H116" s="75"/>
      <c r="I116" s="172"/>
      <c r="J116" s="215">
        <v>0.09</v>
      </c>
      <c r="K116" s="43">
        <v>0.004</v>
      </c>
      <c r="L116" s="43"/>
      <c r="M116" s="512">
        <v>0.00059</v>
      </c>
      <c r="N116" s="70"/>
      <c r="O116" s="11"/>
    </row>
    <row r="117" spans="1:15" ht="12.75">
      <c r="A117" s="169">
        <v>108</v>
      </c>
      <c r="B117" s="172" t="s">
        <v>221</v>
      </c>
      <c r="C117" s="489">
        <f t="shared" si="5"/>
        <v>0.00059</v>
      </c>
      <c r="D117" s="82"/>
      <c r="E117" s="65"/>
      <c r="F117" s="207"/>
      <c r="G117" s="75"/>
      <c r="H117" s="75"/>
      <c r="I117" s="172"/>
      <c r="J117" s="215">
        <v>0.13</v>
      </c>
      <c r="K117" s="43">
        <v>0.001</v>
      </c>
      <c r="L117" s="43"/>
      <c r="M117" s="512">
        <v>0.00059</v>
      </c>
      <c r="N117" s="70"/>
      <c r="O117" s="11"/>
    </row>
    <row r="118" spans="1:15" ht="12.75">
      <c r="A118" s="169">
        <v>109</v>
      </c>
      <c r="B118" s="172" t="s">
        <v>222</v>
      </c>
      <c r="C118" s="489">
        <f t="shared" si="5"/>
        <v>0.00059</v>
      </c>
      <c r="D118" s="66"/>
      <c r="E118" s="65"/>
      <c r="F118" s="207"/>
      <c r="G118" s="75"/>
      <c r="H118" s="75"/>
      <c r="I118" s="172"/>
      <c r="J118" s="77"/>
      <c r="K118" s="75"/>
      <c r="L118" s="75"/>
      <c r="M118" s="512">
        <v>0.00059</v>
      </c>
      <c r="N118" s="70"/>
      <c r="O118" s="11"/>
    </row>
    <row r="119" spans="1:15" ht="12.75">
      <c r="A119" s="169">
        <v>110</v>
      </c>
      <c r="B119" s="172" t="s">
        <v>223</v>
      </c>
      <c r="C119" s="489">
        <f t="shared" si="5"/>
        <v>0.00084</v>
      </c>
      <c r="D119" s="66"/>
      <c r="E119" s="65"/>
      <c r="F119" s="207"/>
      <c r="G119" s="75"/>
      <c r="H119" s="75"/>
      <c r="I119" s="172"/>
      <c r="J119" s="77"/>
      <c r="K119" s="75"/>
      <c r="L119" s="75"/>
      <c r="M119" s="512">
        <v>0.00084</v>
      </c>
      <c r="N119" s="70"/>
      <c r="O119" s="11"/>
    </row>
    <row r="120" spans="1:15" ht="12.75">
      <c r="A120" s="169">
        <v>111</v>
      </c>
      <c r="B120" s="172" t="s">
        <v>224</v>
      </c>
      <c r="C120" s="489">
        <f t="shared" si="5"/>
        <v>0.00014</v>
      </c>
      <c r="D120" s="82"/>
      <c r="E120" s="65"/>
      <c r="F120" s="207"/>
      <c r="G120" s="75"/>
      <c r="H120" s="75"/>
      <c r="I120" s="172"/>
      <c r="J120" s="215">
        <v>0.71</v>
      </c>
      <c r="K120" s="75">
        <v>0.0019</v>
      </c>
      <c r="L120" s="75"/>
      <c r="M120" s="512">
        <v>0.00014</v>
      </c>
      <c r="N120" s="70"/>
      <c r="O120" s="11"/>
    </row>
    <row r="121" spans="1:15" ht="12.75">
      <c r="A121" s="169">
        <v>112</v>
      </c>
      <c r="B121" s="172" t="s">
        <v>125</v>
      </c>
      <c r="C121" s="491">
        <f t="shared" si="5"/>
        <v>0.0087</v>
      </c>
      <c r="D121" s="66"/>
      <c r="E121" s="65"/>
      <c r="F121" s="207"/>
      <c r="G121" s="75"/>
      <c r="H121" s="75"/>
      <c r="I121" s="172"/>
      <c r="J121" s="74">
        <v>0.034</v>
      </c>
      <c r="K121" s="75">
        <v>0.0087</v>
      </c>
      <c r="L121" s="75"/>
      <c r="M121" s="508">
        <v>240</v>
      </c>
      <c r="N121" s="70"/>
      <c r="O121" s="11"/>
    </row>
    <row r="122" spans="1:15" ht="12.75">
      <c r="A122" s="169">
        <v>113</v>
      </c>
      <c r="B122" s="172" t="s">
        <v>225</v>
      </c>
      <c r="C122" s="491">
        <f t="shared" si="5"/>
        <v>0.0087</v>
      </c>
      <c r="D122" s="66"/>
      <c r="E122" s="65"/>
      <c r="F122" s="207"/>
      <c r="G122" s="75"/>
      <c r="H122" s="75"/>
      <c r="I122" s="172"/>
      <c r="J122" s="74">
        <v>0.034</v>
      </c>
      <c r="K122" s="75">
        <v>0.0087</v>
      </c>
      <c r="L122" s="75"/>
      <c r="M122" s="508">
        <v>240</v>
      </c>
      <c r="N122" s="70"/>
      <c r="O122" s="11"/>
    </row>
    <row r="123" spans="1:15" ht="12.75">
      <c r="A123" s="169">
        <v>114</v>
      </c>
      <c r="B123" s="172" t="s">
        <v>127</v>
      </c>
      <c r="C123" s="485">
        <f t="shared" si="5"/>
        <v>240</v>
      </c>
      <c r="D123" s="66"/>
      <c r="E123" s="65"/>
      <c r="F123" s="207"/>
      <c r="G123" s="75"/>
      <c r="H123" s="75"/>
      <c r="I123" s="172"/>
      <c r="J123" s="77"/>
      <c r="K123" s="75"/>
      <c r="L123" s="75"/>
      <c r="M123" s="508">
        <v>240</v>
      </c>
      <c r="N123" s="70"/>
      <c r="O123" s="11"/>
    </row>
    <row r="124" spans="1:15" ht="12.75">
      <c r="A124" s="169">
        <v>115</v>
      </c>
      <c r="B124" s="172" t="s">
        <v>128</v>
      </c>
      <c r="C124" s="491">
        <f t="shared" si="5"/>
        <v>0.0023</v>
      </c>
      <c r="D124" s="66"/>
      <c r="E124" s="65"/>
      <c r="F124" s="207"/>
      <c r="G124" s="75"/>
      <c r="H124" s="75"/>
      <c r="I124" s="172"/>
      <c r="J124" s="74">
        <v>0.037</v>
      </c>
      <c r="K124" s="75">
        <v>0.0023</v>
      </c>
      <c r="L124" s="75"/>
      <c r="M124" s="509">
        <v>0.81</v>
      </c>
      <c r="N124" s="70"/>
      <c r="O124" s="11"/>
    </row>
    <row r="125" spans="1:15" ht="12.75">
      <c r="A125" s="169">
        <v>116</v>
      </c>
      <c r="B125" s="172" t="s">
        <v>129</v>
      </c>
      <c r="C125" s="482">
        <f t="shared" si="5"/>
        <v>0.81</v>
      </c>
      <c r="D125" s="66"/>
      <c r="E125" s="65"/>
      <c r="F125" s="207"/>
      <c r="G125" s="75"/>
      <c r="H125" s="75"/>
      <c r="I125" s="172"/>
      <c r="J125" s="77"/>
      <c r="K125" s="75"/>
      <c r="L125" s="75"/>
      <c r="M125" s="509">
        <v>0.81</v>
      </c>
      <c r="N125" s="70"/>
      <c r="O125" s="11"/>
    </row>
    <row r="126" spans="1:15" ht="12.75">
      <c r="A126" s="169">
        <v>117</v>
      </c>
      <c r="B126" s="172" t="s">
        <v>130</v>
      </c>
      <c r="C126" s="489">
        <f t="shared" si="5"/>
        <v>0.00021</v>
      </c>
      <c r="D126" s="66"/>
      <c r="E126" s="65"/>
      <c r="F126" s="207"/>
      <c r="G126" s="75"/>
      <c r="H126" s="75"/>
      <c r="I126" s="172"/>
      <c r="J126" s="74">
        <v>0.053</v>
      </c>
      <c r="K126" s="75">
        <v>0.0036</v>
      </c>
      <c r="L126" s="75"/>
      <c r="M126" s="512">
        <v>0.00021</v>
      </c>
      <c r="N126" s="70"/>
      <c r="O126" s="11"/>
    </row>
    <row r="127" spans="1:15" ht="12.75">
      <c r="A127" s="169">
        <v>118</v>
      </c>
      <c r="B127" s="172" t="s">
        <v>226</v>
      </c>
      <c r="C127" s="489">
        <f t="shared" si="5"/>
        <v>0.00011</v>
      </c>
      <c r="D127" s="66"/>
      <c r="E127" s="65"/>
      <c r="F127" s="207"/>
      <c r="G127" s="75"/>
      <c r="H127" s="75"/>
      <c r="I127" s="172"/>
      <c r="J127" s="74">
        <v>0.053</v>
      </c>
      <c r="K127" s="75">
        <v>0.0036</v>
      </c>
      <c r="L127" s="75"/>
      <c r="M127" s="512">
        <v>0.00011</v>
      </c>
      <c r="N127" s="70"/>
      <c r="O127" s="11"/>
    </row>
    <row r="128" spans="1:15" ht="12.75">
      <c r="A128" s="169" t="s">
        <v>227</v>
      </c>
      <c r="B128" s="172" t="s">
        <v>228</v>
      </c>
      <c r="C128" s="489">
        <f t="shared" si="5"/>
        <v>0.00017</v>
      </c>
      <c r="D128" s="82"/>
      <c r="E128" s="65"/>
      <c r="F128" s="207"/>
      <c r="G128" s="75"/>
      <c r="H128" s="75"/>
      <c r="I128" s="172"/>
      <c r="J128" s="77"/>
      <c r="K128" s="216">
        <v>0.03</v>
      </c>
      <c r="L128" s="216"/>
      <c r="M128" s="512">
        <v>0.00017</v>
      </c>
      <c r="N128" s="70"/>
      <c r="O128" s="11"/>
    </row>
    <row r="129" spans="1:15" ht="12" customHeight="1">
      <c r="A129" s="169">
        <v>126</v>
      </c>
      <c r="B129" s="172" t="s">
        <v>132</v>
      </c>
      <c r="C129" s="489">
        <f t="shared" si="5"/>
        <v>0.0002</v>
      </c>
      <c r="D129" s="66"/>
      <c r="E129" s="65"/>
      <c r="F129" s="207"/>
      <c r="G129" s="75"/>
      <c r="H129" s="75"/>
      <c r="I129" s="172"/>
      <c r="J129" s="215">
        <v>0.21</v>
      </c>
      <c r="K129" s="75">
        <v>0.0002</v>
      </c>
      <c r="L129" s="75"/>
      <c r="M129" s="512">
        <v>0.00075</v>
      </c>
      <c r="N129" s="70"/>
      <c r="O129" s="11"/>
    </row>
    <row r="130" spans="1:15" ht="13.5" thickBot="1">
      <c r="A130" s="175"/>
      <c r="B130" s="176" t="s">
        <v>229</v>
      </c>
      <c r="C130" s="492">
        <f t="shared" si="5"/>
        <v>0.01</v>
      </c>
      <c r="D130" s="91"/>
      <c r="E130" s="90"/>
      <c r="F130" s="210">
        <v>0.01</v>
      </c>
      <c r="G130" s="186"/>
      <c r="H130" s="186"/>
      <c r="I130" s="176"/>
      <c r="J130" s="77"/>
      <c r="K130" s="75"/>
      <c r="L130" s="75"/>
      <c r="M130" s="76"/>
      <c r="N130" s="70"/>
      <c r="O130" s="11"/>
    </row>
    <row r="131" spans="1:15" s="89" customFormat="1" ht="13.5" thickBot="1">
      <c r="A131" s="175"/>
      <c r="B131" s="176" t="s">
        <v>427</v>
      </c>
      <c r="C131" s="492">
        <f t="shared" si="5"/>
        <v>15</v>
      </c>
      <c r="D131" s="91"/>
      <c r="E131" s="90"/>
      <c r="F131" s="210"/>
      <c r="G131" s="186"/>
      <c r="H131" s="186">
        <v>15</v>
      </c>
      <c r="I131" s="176"/>
      <c r="J131" s="513"/>
      <c r="K131" s="514"/>
      <c r="L131" s="514"/>
      <c r="M131" s="515"/>
      <c r="N131" s="518"/>
      <c r="O131" s="519"/>
    </row>
    <row r="132" spans="1:13" ht="12.75">
      <c r="A132" s="89" t="s">
        <v>230</v>
      </c>
      <c r="B132" s="92"/>
      <c r="C132" s="96"/>
      <c r="D132" s="92"/>
      <c r="E132" s="92"/>
      <c r="F132" s="92"/>
      <c r="G132" s="14"/>
      <c r="H132" s="14"/>
      <c r="I132" s="14"/>
      <c r="J132" s="14"/>
      <c r="K132" s="14"/>
      <c r="L132" s="14"/>
      <c r="M132" s="14"/>
    </row>
    <row r="133" spans="1:6" s="89" customFormat="1" ht="11.25">
      <c r="A133" s="93" t="s">
        <v>231</v>
      </c>
      <c r="B133" s="65" t="s">
        <v>232</v>
      </c>
      <c r="C133" s="86"/>
      <c r="D133" s="65"/>
      <c r="E133" s="65"/>
      <c r="F133" s="65"/>
    </row>
    <row r="134" spans="1:6" s="89" customFormat="1" ht="11.25">
      <c r="A134" s="93"/>
      <c r="B134" s="65" t="s">
        <v>233</v>
      </c>
      <c r="C134" s="86"/>
      <c r="D134" s="65"/>
      <c r="E134" s="65"/>
      <c r="F134" s="65"/>
    </row>
    <row r="135" spans="1:13" ht="12.75">
      <c r="A135" s="93" t="s">
        <v>234</v>
      </c>
      <c r="B135" s="65" t="s">
        <v>235</v>
      </c>
      <c r="C135" s="86"/>
      <c r="D135" s="65"/>
      <c r="E135" s="94"/>
      <c r="F135" s="92"/>
      <c r="G135" s="14"/>
      <c r="H135" s="14"/>
      <c r="I135" s="14"/>
      <c r="J135" s="14"/>
      <c r="K135" s="14"/>
      <c r="L135" s="14"/>
      <c r="M135" s="14"/>
    </row>
    <row r="136" ht="12.75">
      <c r="C136" s="97"/>
    </row>
    <row r="137" spans="2:4" ht="12.75">
      <c r="B137" s="95"/>
      <c r="C137" s="98"/>
      <c r="D137" s="95"/>
    </row>
    <row r="138" ht="12.75">
      <c r="C138" s="97"/>
    </row>
    <row r="139" ht="12.75">
      <c r="C139" s="97"/>
    </row>
    <row r="140" ht="12.75">
      <c r="C140" s="97"/>
    </row>
    <row r="141" ht="12.75">
      <c r="C141" s="97"/>
    </row>
    <row r="142" ht="12.75">
      <c r="C142" s="97"/>
    </row>
    <row r="143" ht="12.75">
      <c r="C143" s="97"/>
    </row>
    <row r="144" ht="12.75">
      <c r="C144" s="97"/>
    </row>
    <row r="145" ht="12.75">
      <c r="C145" s="97"/>
    </row>
    <row r="146" ht="12.75">
      <c r="C146" s="97"/>
    </row>
    <row r="147" ht="12.75">
      <c r="C147" s="97"/>
    </row>
    <row r="148" ht="12.75">
      <c r="C148" s="97"/>
    </row>
    <row r="149" ht="12.75">
      <c r="C149" s="97"/>
    </row>
    <row r="150" ht="12.75">
      <c r="C150" s="97"/>
    </row>
    <row r="151" ht="12.75">
      <c r="C151" s="97"/>
    </row>
    <row r="152" ht="12.75">
      <c r="C152" s="97"/>
    </row>
    <row r="153" ht="12.75">
      <c r="C153" s="97"/>
    </row>
    <row r="154" ht="12.75">
      <c r="C154" s="97"/>
    </row>
    <row r="155" ht="12.75">
      <c r="C155" s="97"/>
    </row>
    <row r="156" ht="12.75">
      <c r="C156" s="97"/>
    </row>
    <row r="157" ht="12.75">
      <c r="C157" s="97"/>
    </row>
    <row r="158" ht="12.75">
      <c r="C158" s="97"/>
    </row>
    <row r="159" ht="12.75">
      <c r="C159" s="97"/>
    </row>
    <row r="160" ht="12.75">
      <c r="C160" s="97"/>
    </row>
    <row r="161" ht="12.75">
      <c r="C161" s="97"/>
    </row>
    <row r="162" ht="12.75">
      <c r="C162" s="97"/>
    </row>
    <row r="163" ht="12.75">
      <c r="C163" s="97"/>
    </row>
    <row r="164" ht="12.75">
      <c r="C164" s="97"/>
    </row>
    <row r="165" ht="12.75">
      <c r="C165" s="97"/>
    </row>
    <row r="166" ht="12.75">
      <c r="C166" s="97"/>
    </row>
    <row r="167" ht="12.75">
      <c r="C167" s="97"/>
    </row>
    <row r="168" ht="12.75">
      <c r="C168" s="97"/>
    </row>
    <row r="169" ht="12.75">
      <c r="C169" s="97"/>
    </row>
    <row r="170" ht="12.75">
      <c r="C170" s="97"/>
    </row>
    <row r="171" ht="12.75">
      <c r="C171" s="97"/>
    </row>
    <row r="172" ht="12.75">
      <c r="C172" s="97"/>
    </row>
    <row r="173" ht="12.75">
      <c r="C173" s="97"/>
    </row>
    <row r="174" ht="12.75">
      <c r="C174" s="97"/>
    </row>
    <row r="175" ht="12.75">
      <c r="C175" s="97"/>
    </row>
    <row r="176" ht="12.75">
      <c r="C176" s="97"/>
    </row>
    <row r="177" ht="12.75">
      <c r="C177" s="97"/>
    </row>
    <row r="178" ht="12.75">
      <c r="C178" s="97"/>
    </row>
    <row r="179" ht="12.75">
      <c r="C179" s="97"/>
    </row>
    <row r="180" ht="12.75">
      <c r="C180" s="97"/>
    </row>
    <row r="181" ht="12.75">
      <c r="C181" s="97"/>
    </row>
    <row r="182" ht="12.75">
      <c r="C182" s="97"/>
    </row>
    <row r="183" ht="12.75">
      <c r="C183" s="97"/>
    </row>
    <row r="184" ht="12.75">
      <c r="C184" s="97"/>
    </row>
    <row r="185" ht="12.75">
      <c r="C185" s="97"/>
    </row>
    <row r="186" ht="12.75">
      <c r="C186" s="97"/>
    </row>
    <row r="187" ht="12.75">
      <c r="C187" s="97"/>
    </row>
    <row r="188" ht="12.75">
      <c r="C188" s="97"/>
    </row>
    <row r="189" ht="12.75">
      <c r="C189" s="97"/>
    </row>
    <row r="190" ht="12.75">
      <c r="C190" s="97"/>
    </row>
    <row r="191" ht="12.75">
      <c r="C191" s="97"/>
    </row>
    <row r="192" ht="12.75">
      <c r="C192" s="97"/>
    </row>
    <row r="193" ht="12.75">
      <c r="C193" s="97"/>
    </row>
    <row r="194" ht="12.75">
      <c r="C194" s="97"/>
    </row>
    <row r="195" ht="12.75">
      <c r="C195" s="97"/>
    </row>
    <row r="196" ht="12.75">
      <c r="C196" s="97"/>
    </row>
    <row r="197" ht="12.75">
      <c r="C197" s="97"/>
    </row>
    <row r="198" ht="12.75">
      <c r="C198" s="97"/>
    </row>
    <row r="199" ht="12.75">
      <c r="C199" s="97"/>
    </row>
    <row r="200" ht="12.75">
      <c r="C200" s="97"/>
    </row>
    <row r="201" ht="12.75">
      <c r="C201" s="97"/>
    </row>
    <row r="202" ht="12.75">
      <c r="C202" s="97"/>
    </row>
    <row r="203" ht="12.75">
      <c r="C203" s="97"/>
    </row>
    <row r="204" ht="12.75">
      <c r="C204" s="97"/>
    </row>
    <row r="205" ht="12.75">
      <c r="C205" s="97"/>
    </row>
    <row r="206" ht="12.75">
      <c r="C206" s="97"/>
    </row>
    <row r="207" ht="12.75">
      <c r="C207" s="97"/>
    </row>
    <row r="208" ht="12.75">
      <c r="C208" s="97"/>
    </row>
    <row r="209" ht="12.75">
      <c r="C209" s="97"/>
    </row>
    <row r="210" ht="12.75">
      <c r="C210" s="97"/>
    </row>
    <row r="211" ht="12.75">
      <c r="C211" s="97"/>
    </row>
    <row r="212" ht="12.75">
      <c r="C212" s="97"/>
    </row>
    <row r="213" ht="12.75">
      <c r="C213" s="97"/>
    </row>
    <row r="214" ht="12.75">
      <c r="C214" s="97"/>
    </row>
    <row r="215" ht="12.75">
      <c r="C215" s="97"/>
    </row>
    <row r="216" ht="12.75">
      <c r="C216" s="97"/>
    </row>
    <row r="217" ht="12.75">
      <c r="C217" s="97"/>
    </row>
    <row r="218" ht="12.75">
      <c r="C218" s="97"/>
    </row>
    <row r="219" ht="12.75">
      <c r="C219" s="97"/>
    </row>
    <row r="220" ht="12.75">
      <c r="C220" s="97"/>
    </row>
    <row r="221" ht="12.75">
      <c r="C221" s="97"/>
    </row>
    <row r="222" ht="12.75">
      <c r="C222" s="97"/>
    </row>
    <row r="223" ht="12.75">
      <c r="C223" s="97"/>
    </row>
    <row r="224" ht="12.75">
      <c r="C224" s="97"/>
    </row>
    <row r="225" ht="12.75">
      <c r="C225" s="97"/>
    </row>
    <row r="226" ht="12.75">
      <c r="C226" s="97"/>
    </row>
    <row r="227" ht="12.75">
      <c r="C227" s="97"/>
    </row>
    <row r="228" ht="12.75">
      <c r="C228" s="97"/>
    </row>
    <row r="229" ht="12.75">
      <c r="C229" s="97"/>
    </row>
    <row r="230" ht="12.75">
      <c r="C230" s="97"/>
    </row>
    <row r="231" ht="12.75">
      <c r="C231" s="97"/>
    </row>
    <row r="232" ht="12.75">
      <c r="C232" s="97"/>
    </row>
    <row r="233" ht="12.75">
      <c r="C233" s="97"/>
    </row>
    <row r="234" ht="12.75">
      <c r="C234" s="97"/>
    </row>
    <row r="235" ht="12.75">
      <c r="C235" s="97"/>
    </row>
    <row r="236" ht="12.75">
      <c r="C236" s="97"/>
    </row>
    <row r="237" ht="12.75">
      <c r="C237" s="97"/>
    </row>
    <row r="238" ht="12.75">
      <c r="C238" s="97"/>
    </row>
    <row r="239" ht="12.75">
      <c r="C239" s="97"/>
    </row>
    <row r="240" ht="12.75">
      <c r="C240" s="97"/>
    </row>
    <row r="241" ht="12.75">
      <c r="C241" s="97"/>
    </row>
    <row r="242" ht="12.75">
      <c r="C242" s="97"/>
    </row>
    <row r="243" ht="12.75">
      <c r="C243" s="97"/>
    </row>
    <row r="244" ht="12.75">
      <c r="C244" s="97"/>
    </row>
    <row r="245" ht="12.75">
      <c r="C245" s="97"/>
    </row>
    <row r="246" ht="12.75">
      <c r="C246" s="97"/>
    </row>
    <row r="247" ht="12.75">
      <c r="C247" s="97"/>
    </row>
    <row r="248" ht="12.75">
      <c r="C248" s="97"/>
    </row>
    <row r="249" ht="12.75">
      <c r="C249" s="97"/>
    </row>
    <row r="250" ht="12.75">
      <c r="C250" s="97"/>
    </row>
    <row r="251" ht="12.75">
      <c r="C251" s="97"/>
    </row>
    <row r="252" ht="12.75">
      <c r="C252" s="97"/>
    </row>
    <row r="253" ht="12.75">
      <c r="C253" s="97"/>
    </row>
    <row r="254" ht="12.75">
      <c r="C254" s="97"/>
    </row>
    <row r="255" ht="12.75">
      <c r="C255" s="97"/>
    </row>
    <row r="256" ht="12.75">
      <c r="C256" s="97"/>
    </row>
    <row r="257" ht="12.75">
      <c r="C257" s="97"/>
    </row>
    <row r="258" ht="12.75">
      <c r="C258" s="97"/>
    </row>
    <row r="259" ht="12.75">
      <c r="C259" s="97"/>
    </row>
    <row r="260" ht="12.75">
      <c r="C260" s="97"/>
    </row>
    <row r="261" ht="12.75">
      <c r="C261" s="97"/>
    </row>
    <row r="262" ht="12.75">
      <c r="C262" s="97"/>
    </row>
    <row r="263" ht="12.75">
      <c r="C263" s="97"/>
    </row>
    <row r="264" ht="12.75">
      <c r="C264" s="97"/>
    </row>
    <row r="265" ht="12.75">
      <c r="C265" s="97"/>
    </row>
    <row r="266" ht="12.75">
      <c r="C266" s="97"/>
    </row>
    <row r="267" ht="12.75">
      <c r="C267" s="97"/>
    </row>
    <row r="268" ht="12.75">
      <c r="C268" s="97"/>
    </row>
    <row r="269" ht="12.75">
      <c r="C269" s="97"/>
    </row>
    <row r="270" ht="12.75">
      <c r="C270" s="97"/>
    </row>
    <row r="271" ht="12.75">
      <c r="C271" s="97"/>
    </row>
    <row r="272" ht="12.75">
      <c r="C272" s="97"/>
    </row>
    <row r="273" ht="12.75">
      <c r="C273" s="97"/>
    </row>
    <row r="274" ht="12.75">
      <c r="C274" s="97"/>
    </row>
    <row r="275" ht="12.75">
      <c r="C275" s="97"/>
    </row>
    <row r="276" ht="12.75">
      <c r="C276" s="97"/>
    </row>
    <row r="277" ht="12.75">
      <c r="C277" s="97"/>
    </row>
    <row r="278" ht="12.75">
      <c r="C278" s="97"/>
    </row>
    <row r="279" ht="12.75">
      <c r="C279" s="97"/>
    </row>
    <row r="280" ht="12.75">
      <c r="C280" s="97"/>
    </row>
    <row r="281" ht="12.75">
      <c r="C281" s="97"/>
    </row>
    <row r="282" ht="12.75">
      <c r="C282" s="97"/>
    </row>
    <row r="283" ht="12.75">
      <c r="C283" s="97"/>
    </row>
    <row r="284" ht="12.75">
      <c r="C284" s="97"/>
    </row>
    <row r="285" ht="12.75">
      <c r="C285" s="97"/>
    </row>
    <row r="286" ht="12.75">
      <c r="C286" s="97"/>
    </row>
    <row r="287" ht="12.75">
      <c r="C287" s="97"/>
    </row>
    <row r="288" ht="12.75">
      <c r="C288" s="97"/>
    </row>
    <row r="289" ht="12.75">
      <c r="C289" s="97"/>
    </row>
    <row r="290" ht="12.75">
      <c r="C290" s="97"/>
    </row>
    <row r="291" ht="12.75">
      <c r="C291" s="97"/>
    </row>
    <row r="292" ht="12.75">
      <c r="C292" s="97"/>
    </row>
    <row r="293" ht="12.75">
      <c r="C293" s="97"/>
    </row>
    <row r="294" ht="12.75">
      <c r="C294" s="97"/>
    </row>
    <row r="295" ht="12.75">
      <c r="C295" s="97"/>
    </row>
    <row r="296" ht="12.75">
      <c r="C296" s="97"/>
    </row>
    <row r="297" ht="12.75">
      <c r="C297" s="97"/>
    </row>
    <row r="298" ht="12.75">
      <c r="C298" s="97"/>
    </row>
    <row r="299" ht="12.75">
      <c r="C299" s="97"/>
    </row>
    <row r="300" ht="12.75">
      <c r="C300" s="97"/>
    </row>
    <row r="301" ht="12.75">
      <c r="C301" s="97"/>
    </row>
    <row r="302" ht="12.75">
      <c r="C302" s="97"/>
    </row>
    <row r="303" ht="12.75">
      <c r="C303" s="97"/>
    </row>
    <row r="304" ht="12.75">
      <c r="C304" s="97"/>
    </row>
    <row r="305" ht="12.75">
      <c r="C305" s="97"/>
    </row>
    <row r="306" ht="12.75">
      <c r="C306" s="97"/>
    </row>
    <row r="307" ht="12.75">
      <c r="C307" s="97"/>
    </row>
    <row r="308" ht="12.75">
      <c r="C308" s="97"/>
    </row>
    <row r="309" ht="12.75">
      <c r="C309" s="97"/>
    </row>
    <row r="310" ht="12.75">
      <c r="C310" s="97"/>
    </row>
    <row r="311" ht="12.75">
      <c r="C311" s="97"/>
    </row>
    <row r="312" ht="12.75">
      <c r="C312" s="97"/>
    </row>
  </sheetData>
  <mergeCells count="8">
    <mergeCell ref="N5:O5"/>
    <mergeCell ref="F4:I4"/>
    <mergeCell ref="J4:M4"/>
    <mergeCell ref="L5:M5"/>
    <mergeCell ref="C4:C6"/>
    <mergeCell ref="D5:E5"/>
    <mergeCell ref="F5:I5"/>
    <mergeCell ref="J5:K5"/>
  </mergeCells>
  <printOptions/>
  <pageMargins left="0.75" right="0.75" top="1" bottom="1" header="0.5" footer="0.5"/>
  <pageSetup fitToHeight="2" fitToWidth="1" horizontalDpi="600" verticalDpi="600" orientation="portrait" scale="66" r:id="rId3"/>
  <headerFooter alignWithMargins="0">
    <oddHeader>&amp;CU.S. Navy Treasure Island WWTP 
Applicable WQOs/WQC</oddHeader>
    <oddFooter>&amp;C&amp;P of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B5" sqref="B5"/>
    </sheetView>
  </sheetViews>
  <sheetFormatPr defaultColWidth="9.140625" defaultRowHeight="12.75"/>
  <cols>
    <col min="1" max="1" width="7.28125" style="14" customWidth="1"/>
    <col min="2" max="2" width="27.00390625" style="14" customWidth="1"/>
    <col min="3" max="3" width="5.421875" style="14" bestFit="1" customWidth="1"/>
    <col min="4" max="4" width="11.421875" style="14" customWidth="1"/>
  </cols>
  <sheetData>
    <row r="1" spans="1:4" ht="12.75">
      <c r="A1" s="17"/>
      <c r="B1" s="17" t="s">
        <v>565</v>
      </c>
      <c r="C1" s="590">
        <v>37906</v>
      </c>
      <c r="D1" s="591"/>
    </row>
    <row r="2" spans="1:4" ht="12.75">
      <c r="A2" s="17" t="s">
        <v>562</v>
      </c>
      <c r="B2" s="17" t="s">
        <v>563</v>
      </c>
      <c r="C2" s="17" t="s">
        <v>561</v>
      </c>
      <c r="D2" s="456" t="s">
        <v>564</v>
      </c>
    </row>
    <row r="3" spans="1:4" ht="12.75">
      <c r="A3" s="17">
        <v>45</v>
      </c>
      <c r="B3" s="12" t="s">
        <v>58</v>
      </c>
      <c r="C3" s="17" t="s">
        <v>272</v>
      </c>
      <c r="D3" s="17">
        <v>10</v>
      </c>
    </row>
    <row r="4" spans="1:4" ht="12.75">
      <c r="A4" s="17">
        <v>46</v>
      </c>
      <c r="B4" s="12" t="s">
        <v>59</v>
      </c>
      <c r="C4" s="17" t="s">
        <v>272</v>
      </c>
      <c r="D4" s="17">
        <v>10</v>
      </c>
    </row>
    <row r="5" spans="1:4" ht="12.75">
      <c r="A5" s="17">
        <v>47</v>
      </c>
      <c r="B5" s="12" t="s">
        <v>60</v>
      </c>
      <c r="C5" s="17" t="s">
        <v>272</v>
      </c>
      <c r="D5" s="17">
        <v>10</v>
      </c>
    </row>
    <row r="6" spans="1:4" ht="12.75">
      <c r="A6" s="17">
        <v>49</v>
      </c>
      <c r="B6" s="12" t="s">
        <v>62</v>
      </c>
      <c r="C6" s="17" t="s">
        <v>272</v>
      </c>
      <c r="D6" s="17">
        <v>100</v>
      </c>
    </row>
    <row r="7" spans="1:4" ht="12.75">
      <c r="A7" s="17">
        <v>50</v>
      </c>
      <c r="B7" s="12" t="s">
        <v>63</v>
      </c>
      <c r="C7" s="17" t="s">
        <v>272</v>
      </c>
      <c r="D7" s="17">
        <v>10</v>
      </c>
    </row>
    <row r="8" spans="1:4" ht="12.75">
      <c r="A8" s="17">
        <v>51</v>
      </c>
      <c r="B8" s="12" t="s">
        <v>64</v>
      </c>
      <c r="C8" s="17" t="s">
        <v>272</v>
      </c>
      <c r="D8" s="17">
        <v>20</v>
      </c>
    </row>
    <row r="9" spans="1:4" ht="12.75">
      <c r="A9" s="17">
        <v>59</v>
      </c>
      <c r="B9" s="12" t="s">
        <v>72</v>
      </c>
      <c r="C9" s="17" t="s">
        <v>272</v>
      </c>
      <c r="D9" s="17">
        <v>100</v>
      </c>
    </row>
    <row r="10" spans="1:4" ht="12.75">
      <c r="A10" s="17">
        <v>65</v>
      </c>
      <c r="B10" s="12" t="s">
        <v>78</v>
      </c>
      <c r="C10" s="17" t="s">
        <v>272</v>
      </c>
      <c r="D10" s="17">
        <v>20</v>
      </c>
    </row>
    <row r="11" spans="1:4" ht="12.75">
      <c r="A11" s="17">
        <v>66</v>
      </c>
      <c r="B11" s="12" t="s">
        <v>79</v>
      </c>
      <c r="C11" s="17" t="s">
        <v>272</v>
      </c>
      <c r="D11" s="17">
        <v>20</v>
      </c>
    </row>
    <row r="12" spans="1:4" ht="12.75">
      <c r="A12" s="17">
        <v>67</v>
      </c>
      <c r="B12" s="12" t="s">
        <v>80</v>
      </c>
      <c r="C12" s="17" t="s">
        <v>272</v>
      </c>
      <c r="D12" s="17">
        <v>20</v>
      </c>
    </row>
    <row r="13" spans="1:4" ht="12.75">
      <c r="A13" s="17">
        <v>69</v>
      </c>
      <c r="B13" s="12" t="s">
        <v>82</v>
      </c>
      <c r="C13" s="17" t="s">
        <v>272</v>
      </c>
      <c r="D13" s="17">
        <v>10</v>
      </c>
    </row>
    <row r="14" spans="1:4" ht="12.75">
      <c r="A14" s="17">
        <v>70</v>
      </c>
      <c r="B14" s="12" t="s">
        <v>83</v>
      </c>
      <c r="C14" s="17" t="s">
        <v>272</v>
      </c>
      <c r="D14" s="17">
        <v>10</v>
      </c>
    </row>
    <row r="15" spans="1:4" ht="12.75">
      <c r="A15" s="17">
        <v>71</v>
      </c>
      <c r="B15" s="12" t="s">
        <v>84</v>
      </c>
      <c r="C15" s="17" t="s">
        <v>272</v>
      </c>
      <c r="D15" s="17">
        <v>10</v>
      </c>
    </row>
    <row r="16" spans="1:4" ht="12.75">
      <c r="A16" s="17">
        <v>72</v>
      </c>
      <c r="B16" s="12" t="s">
        <v>85</v>
      </c>
      <c r="C16" s="17" t="s">
        <v>272</v>
      </c>
      <c r="D16" s="17">
        <v>10</v>
      </c>
    </row>
    <row r="17" spans="1:4" ht="12.75">
      <c r="A17" s="17">
        <v>78</v>
      </c>
      <c r="B17" s="12" t="s">
        <v>91</v>
      </c>
      <c r="C17" s="17" t="s">
        <v>272</v>
      </c>
      <c r="D17" s="17">
        <v>100</v>
      </c>
    </row>
    <row r="18" spans="1:4" ht="12.75">
      <c r="A18" s="17">
        <v>79</v>
      </c>
      <c r="B18" s="12" t="s">
        <v>92</v>
      </c>
      <c r="C18" s="17" t="s">
        <v>272</v>
      </c>
      <c r="D18" s="17">
        <v>10</v>
      </c>
    </row>
    <row r="19" spans="1:4" ht="12.75">
      <c r="A19" s="17">
        <v>80</v>
      </c>
      <c r="B19" s="12" t="s">
        <v>93</v>
      </c>
      <c r="C19" s="17" t="s">
        <v>272</v>
      </c>
      <c r="D19" s="17">
        <v>10</v>
      </c>
    </row>
    <row r="20" spans="1:4" ht="12.75">
      <c r="A20" s="17">
        <v>81</v>
      </c>
      <c r="B20" s="12" t="s">
        <v>94</v>
      </c>
      <c r="C20" s="17" t="s">
        <v>272</v>
      </c>
      <c r="D20" s="17">
        <v>20</v>
      </c>
    </row>
    <row r="21" spans="1:4" ht="12.75">
      <c r="A21" s="17">
        <v>82</v>
      </c>
      <c r="B21" s="12" t="s">
        <v>95</v>
      </c>
      <c r="C21" s="17" t="s">
        <v>272</v>
      </c>
      <c r="D21" s="17">
        <v>10</v>
      </c>
    </row>
    <row r="22" spans="1:4" ht="12.75">
      <c r="A22" s="17">
        <v>83</v>
      </c>
      <c r="B22" s="12" t="s">
        <v>96</v>
      </c>
      <c r="C22" s="17" t="s">
        <v>272</v>
      </c>
      <c r="D22" s="17">
        <v>10</v>
      </c>
    </row>
    <row r="23" spans="1:4" ht="12.75">
      <c r="A23" s="17">
        <v>84</v>
      </c>
      <c r="B23" s="12" t="s">
        <v>97</v>
      </c>
      <c r="C23" s="17" t="s">
        <v>272</v>
      </c>
      <c r="D23" s="17">
        <v>20</v>
      </c>
    </row>
    <row r="24" spans="1:4" ht="12.75">
      <c r="A24" s="17">
        <v>85</v>
      </c>
      <c r="B24" s="12" t="s">
        <v>98</v>
      </c>
      <c r="C24" s="17" t="s">
        <v>272</v>
      </c>
      <c r="D24" s="17">
        <v>20</v>
      </c>
    </row>
    <row r="25" spans="1:4" ht="12.75">
      <c r="A25" s="17">
        <v>88</v>
      </c>
      <c r="B25" s="17" t="s">
        <v>101</v>
      </c>
      <c r="C25" s="17" t="s">
        <v>272</v>
      </c>
      <c r="D25" s="17">
        <v>10</v>
      </c>
    </row>
    <row r="26" spans="1:4" ht="12.75">
      <c r="A26" s="17">
        <v>89</v>
      </c>
      <c r="B26" s="12" t="s">
        <v>102</v>
      </c>
      <c r="C26" s="17" t="s">
        <v>272</v>
      </c>
      <c r="D26" s="17">
        <v>20</v>
      </c>
    </row>
    <row r="27" spans="1:4" ht="12.75">
      <c r="A27" s="17">
        <v>90</v>
      </c>
      <c r="B27" s="12" t="s">
        <v>103</v>
      </c>
      <c r="C27" s="17" t="s">
        <v>272</v>
      </c>
      <c r="D27" s="17">
        <v>20</v>
      </c>
    </row>
    <row r="28" spans="1:4" ht="12.75">
      <c r="A28" s="17">
        <v>91</v>
      </c>
      <c r="B28" s="12" t="s">
        <v>104</v>
      </c>
      <c r="C28" s="17" t="s">
        <v>272</v>
      </c>
      <c r="D28" s="17">
        <v>10</v>
      </c>
    </row>
    <row r="29" spans="1:4" ht="12.75">
      <c r="A29" s="17">
        <v>93</v>
      </c>
      <c r="B29" s="12" t="s">
        <v>106</v>
      </c>
      <c r="C29" s="17" t="s">
        <v>272</v>
      </c>
      <c r="D29" s="17">
        <v>10</v>
      </c>
    </row>
    <row r="30" spans="1:4" ht="12.75">
      <c r="A30" s="17">
        <v>95</v>
      </c>
      <c r="B30" s="12" t="s">
        <v>108</v>
      </c>
      <c r="C30" s="17" t="s">
        <v>272</v>
      </c>
      <c r="D30" s="17">
        <v>10</v>
      </c>
    </row>
    <row r="31" spans="1:4" ht="12.75">
      <c r="A31" s="17">
        <v>96</v>
      </c>
      <c r="B31" s="12" t="s">
        <v>109</v>
      </c>
      <c r="C31" s="17" t="s">
        <v>272</v>
      </c>
      <c r="D31" s="17">
        <v>10</v>
      </c>
    </row>
    <row r="32" spans="1:4" ht="12.75">
      <c r="A32" s="17">
        <v>97</v>
      </c>
      <c r="B32" s="12" t="s">
        <v>110</v>
      </c>
      <c r="C32" s="17" t="s">
        <v>272</v>
      </c>
      <c r="D32" s="17">
        <v>10</v>
      </c>
    </row>
    <row r="33" spans="1:4" ht="12.75">
      <c r="A33" s="17">
        <v>98</v>
      </c>
      <c r="B33" s="12" t="s">
        <v>111</v>
      </c>
      <c r="C33" s="17" t="s">
        <v>272</v>
      </c>
      <c r="D33" s="17">
        <v>10</v>
      </c>
    </row>
    <row r="34" spans="1:4" ht="12.75">
      <c r="A34" s="17">
        <v>101</v>
      </c>
      <c r="B34" s="12" t="s">
        <v>114</v>
      </c>
      <c r="C34" s="17" t="s">
        <v>272</v>
      </c>
      <c r="D34" s="17">
        <v>10</v>
      </c>
    </row>
  </sheetData>
  <mergeCells count="1">
    <mergeCell ref="C1:D1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 xml:space="preserve">&amp;CAdditional Organic Effluent Data (EPA 625 Method)
U.S. Navy - Treasure Island WWTP </oddHeader>
    <oddFooter>&amp;C&amp;P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9"/>
  <sheetViews>
    <sheetView workbookViewId="0" topLeftCell="A1">
      <pane ySplit="1" topLeftCell="BM2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14.421875" style="265" customWidth="1"/>
    <col min="2" max="2" width="24.421875" style="265" customWidth="1"/>
    <col min="3" max="3" width="7.28125" style="265" customWidth="1"/>
    <col min="4" max="4" width="7.00390625" style="265" customWidth="1"/>
    <col min="5" max="5" width="5.8515625" style="265" customWidth="1"/>
    <col min="6" max="6" width="6.00390625" style="268" customWidth="1"/>
    <col min="7" max="7" width="1.7109375" style="265" customWidth="1"/>
    <col min="8" max="8" width="3.140625" style="265" customWidth="1"/>
    <col min="9" max="16384" width="9.140625" style="265" customWidth="1"/>
  </cols>
  <sheetData>
    <row r="1" spans="1:10" s="264" customFormat="1" ht="23.25" customHeight="1">
      <c r="A1" s="446" t="s">
        <v>406</v>
      </c>
      <c r="B1" s="446" t="s">
        <v>407</v>
      </c>
      <c r="C1" s="446" t="s">
        <v>408</v>
      </c>
      <c r="D1" s="446" t="s">
        <v>409</v>
      </c>
      <c r="E1" s="446" t="s">
        <v>410</v>
      </c>
      <c r="F1" s="447" t="s">
        <v>308</v>
      </c>
      <c r="G1" s="446"/>
      <c r="H1" s="592" t="s">
        <v>411</v>
      </c>
      <c r="I1" s="592"/>
      <c r="J1" s="592"/>
    </row>
    <row r="2" spans="1:10" ht="12.75">
      <c r="A2" s="449">
        <v>37119</v>
      </c>
      <c r="B2" s="448" t="s">
        <v>412</v>
      </c>
      <c r="C2" s="448" t="s">
        <v>272</v>
      </c>
      <c r="D2" s="450">
        <v>0.03</v>
      </c>
      <c r="E2" s="448" t="s">
        <v>198</v>
      </c>
      <c r="F2" s="450">
        <v>0.03</v>
      </c>
      <c r="G2" s="448"/>
      <c r="H2" s="448"/>
      <c r="I2" s="448"/>
      <c r="J2" s="448"/>
    </row>
    <row r="3" spans="1:10" ht="12.75">
      <c r="A3" s="449">
        <v>37243</v>
      </c>
      <c r="B3" s="448" t="s">
        <v>412</v>
      </c>
      <c r="C3" s="448" t="s">
        <v>272</v>
      </c>
      <c r="D3" s="450">
        <v>0.0328</v>
      </c>
      <c r="E3" s="448" t="s">
        <v>198</v>
      </c>
      <c r="F3" s="450">
        <v>0.0328</v>
      </c>
      <c r="G3" s="448"/>
      <c r="H3" s="448"/>
      <c r="I3" s="448"/>
      <c r="J3" s="448"/>
    </row>
    <row r="4" spans="1:10" ht="12.75">
      <c r="A4" s="449">
        <v>37332</v>
      </c>
      <c r="B4" s="448" t="s">
        <v>412</v>
      </c>
      <c r="C4" s="448" t="s">
        <v>272</v>
      </c>
      <c r="D4" s="450">
        <v>0.0328</v>
      </c>
      <c r="E4" s="448" t="s">
        <v>198</v>
      </c>
      <c r="F4" s="450">
        <v>0.0328</v>
      </c>
      <c r="G4" s="448"/>
      <c r="H4" s="448"/>
      <c r="I4" s="448"/>
      <c r="J4" s="448"/>
    </row>
    <row r="5" spans="1:10" ht="12.75">
      <c r="A5" s="449">
        <v>37416</v>
      </c>
      <c r="B5" s="448" t="s">
        <v>412</v>
      </c>
      <c r="C5" s="448" t="s">
        <v>272</v>
      </c>
      <c r="D5" s="450">
        <v>0.0328</v>
      </c>
      <c r="E5" s="448" t="s">
        <v>198</v>
      </c>
      <c r="F5" s="450">
        <v>0.0328</v>
      </c>
      <c r="G5" s="448"/>
      <c r="H5" s="448"/>
      <c r="I5" s="448"/>
      <c r="J5" s="448"/>
    </row>
    <row r="6" spans="1:10" ht="12.75">
      <c r="A6" s="449">
        <v>37521</v>
      </c>
      <c r="B6" s="448" t="s">
        <v>412</v>
      </c>
      <c r="C6" s="448" t="s">
        <v>272</v>
      </c>
      <c r="D6" s="450">
        <v>0.0328</v>
      </c>
      <c r="E6" s="448" t="s">
        <v>198</v>
      </c>
      <c r="F6" s="450">
        <v>0.0328</v>
      </c>
      <c r="G6" s="448"/>
      <c r="H6" s="448"/>
      <c r="I6" s="448"/>
      <c r="J6" s="448"/>
    </row>
    <row r="7" spans="1:10" ht="12.75">
      <c r="A7" s="449">
        <v>37591</v>
      </c>
      <c r="B7" s="448" t="s">
        <v>412</v>
      </c>
      <c r="C7" s="448" t="s">
        <v>272</v>
      </c>
      <c r="D7" s="448">
        <v>0.11</v>
      </c>
      <c r="E7" s="448" t="s">
        <v>198</v>
      </c>
      <c r="F7" s="450">
        <v>0.11</v>
      </c>
      <c r="G7" s="448"/>
      <c r="H7" s="448"/>
      <c r="I7" s="448"/>
      <c r="J7" s="448"/>
    </row>
    <row r="8" spans="1:10" ht="12.75">
      <c r="A8" s="449">
        <v>37671</v>
      </c>
      <c r="B8" s="448" t="s">
        <v>412</v>
      </c>
      <c r="C8" s="448" t="s">
        <v>272</v>
      </c>
      <c r="D8" s="448">
        <v>0.11</v>
      </c>
      <c r="E8" s="448" t="s">
        <v>198</v>
      </c>
      <c r="F8" s="450">
        <v>0.11</v>
      </c>
      <c r="G8" s="448"/>
      <c r="H8" s="448" t="s">
        <v>272</v>
      </c>
      <c r="I8" s="450">
        <v>0.03</v>
      </c>
      <c r="J8" s="448" t="s">
        <v>198</v>
      </c>
    </row>
    <row r="9" spans="1:10" ht="12.75">
      <c r="A9" s="449">
        <v>35806</v>
      </c>
      <c r="B9" s="448" t="s">
        <v>413</v>
      </c>
      <c r="C9" s="448" t="s">
        <v>272</v>
      </c>
      <c r="D9" s="451">
        <v>0.1</v>
      </c>
      <c r="E9" s="448" t="s">
        <v>198</v>
      </c>
      <c r="F9" s="451">
        <v>0.1</v>
      </c>
      <c r="G9" s="448"/>
      <c r="H9" s="448"/>
      <c r="I9" s="448"/>
      <c r="J9" s="448"/>
    </row>
    <row r="10" spans="1:10" ht="12.75">
      <c r="A10" s="449">
        <v>35899</v>
      </c>
      <c r="B10" s="448" t="s">
        <v>413</v>
      </c>
      <c r="C10" s="448" t="s">
        <v>272</v>
      </c>
      <c r="D10" s="451">
        <v>0.1</v>
      </c>
      <c r="E10" s="448" t="s">
        <v>198</v>
      </c>
      <c r="F10" s="451">
        <v>0.1</v>
      </c>
      <c r="G10" s="448"/>
      <c r="H10" s="448"/>
      <c r="I10" s="448"/>
      <c r="J10" s="448"/>
    </row>
    <row r="11" spans="1:10" ht="12.75">
      <c r="A11" s="449">
        <v>35929</v>
      </c>
      <c r="B11" s="448" t="s">
        <v>413</v>
      </c>
      <c r="C11" s="448" t="s">
        <v>272</v>
      </c>
      <c r="D11" s="451">
        <v>0.1</v>
      </c>
      <c r="E11" s="448" t="s">
        <v>198</v>
      </c>
      <c r="F11" s="451">
        <v>0.1</v>
      </c>
      <c r="G11" s="448"/>
      <c r="H11" s="448"/>
      <c r="I11" s="448"/>
      <c r="J11" s="448"/>
    </row>
    <row r="12" spans="1:10" ht="12.75">
      <c r="A12" s="449">
        <v>36081</v>
      </c>
      <c r="B12" s="448" t="s">
        <v>413</v>
      </c>
      <c r="C12" s="448" t="s">
        <v>272</v>
      </c>
      <c r="D12" s="451">
        <v>0.1</v>
      </c>
      <c r="E12" s="448" t="s">
        <v>198</v>
      </c>
      <c r="F12" s="451">
        <v>0.1</v>
      </c>
      <c r="G12" s="448"/>
      <c r="H12" s="448"/>
      <c r="I12" s="448"/>
      <c r="J12" s="448"/>
    </row>
    <row r="13" spans="1:10" ht="12.75">
      <c r="A13" s="449">
        <v>36171</v>
      </c>
      <c r="B13" s="448" t="s">
        <v>413</v>
      </c>
      <c r="C13" s="448" t="s">
        <v>272</v>
      </c>
      <c r="D13" s="450">
        <v>0.14</v>
      </c>
      <c r="E13" s="448" t="s">
        <v>198</v>
      </c>
      <c r="F13" s="450">
        <v>0.14</v>
      </c>
      <c r="G13" s="448"/>
      <c r="H13" s="448"/>
      <c r="I13" s="448"/>
      <c r="J13" s="448"/>
    </row>
    <row r="14" spans="1:10" ht="12.75">
      <c r="A14" s="449">
        <v>36264</v>
      </c>
      <c r="B14" s="448" t="s">
        <v>413</v>
      </c>
      <c r="C14" s="448" t="s">
        <v>272</v>
      </c>
      <c r="D14" s="450">
        <v>0.14</v>
      </c>
      <c r="E14" s="448" t="s">
        <v>198</v>
      </c>
      <c r="F14" s="450">
        <v>0.14</v>
      </c>
      <c r="G14" s="448"/>
      <c r="H14" s="448"/>
      <c r="I14" s="448"/>
      <c r="J14" s="448"/>
    </row>
    <row r="15" spans="1:10" ht="12.75">
      <c r="A15" s="449">
        <v>36355</v>
      </c>
      <c r="B15" s="448" t="s">
        <v>413</v>
      </c>
      <c r="C15" s="448" t="s">
        <v>272</v>
      </c>
      <c r="D15" s="450">
        <v>0.14</v>
      </c>
      <c r="E15" s="448" t="s">
        <v>198</v>
      </c>
      <c r="F15" s="450">
        <v>0.14</v>
      </c>
      <c r="G15" s="448"/>
      <c r="H15" s="448"/>
      <c r="I15" s="448"/>
      <c r="J15" s="448"/>
    </row>
    <row r="16" spans="1:10" ht="12.75">
      <c r="A16" s="449">
        <v>36510</v>
      </c>
      <c r="B16" s="448" t="s">
        <v>413</v>
      </c>
      <c r="C16" s="448" t="s">
        <v>272</v>
      </c>
      <c r="D16" s="451">
        <v>0.1</v>
      </c>
      <c r="E16" s="448" t="s">
        <v>198</v>
      </c>
      <c r="F16" s="451">
        <v>0.1</v>
      </c>
      <c r="G16" s="448"/>
      <c r="H16" s="448"/>
      <c r="I16" s="448"/>
      <c r="J16" s="448"/>
    </row>
    <row r="17" spans="1:10" ht="12.75">
      <c r="A17" s="449">
        <v>36566</v>
      </c>
      <c r="B17" s="448" t="s">
        <v>413</v>
      </c>
      <c r="C17" s="448" t="s">
        <v>272</v>
      </c>
      <c r="D17" s="451">
        <v>0.1</v>
      </c>
      <c r="E17" s="448" t="s">
        <v>198</v>
      </c>
      <c r="F17" s="451">
        <v>0.1</v>
      </c>
      <c r="G17" s="448"/>
      <c r="H17" s="448"/>
      <c r="I17" s="448"/>
      <c r="J17" s="448"/>
    </row>
    <row r="18" spans="1:10" ht="12.75">
      <c r="A18" s="449">
        <v>36685</v>
      </c>
      <c r="B18" s="448" t="s">
        <v>413</v>
      </c>
      <c r="C18" s="448" t="s">
        <v>272</v>
      </c>
      <c r="D18" s="451">
        <v>0.1</v>
      </c>
      <c r="E18" s="448" t="s">
        <v>198</v>
      </c>
      <c r="F18" s="451">
        <v>0.1</v>
      </c>
      <c r="G18" s="448"/>
      <c r="H18" s="448"/>
      <c r="I18" s="448"/>
      <c r="J18" s="448"/>
    </row>
    <row r="19" spans="1:10" ht="12.75">
      <c r="A19" s="449">
        <v>36875</v>
      </c>
      <c r="B19" s="448" t="s">
        <v>413</v>
      </c>
      <c r="C19" s="448" t="s">
        <v>272</v>
      </c>
      <c r="D19" s="450">
        <v>0.14</v>
      </c>
      <c r="E19" s="448" t="s">
        <v>198</v>
      </c>
      <c r="F19" s="450">
        <v>0.14</v>
      </c>
      <c r="G19" s="448"/>
      <c r="H19" s="448"/>
      <c r="I19" s="448"/>
      <c r="J19" s="448"/>
    </row>
    <row r="20" spans="1:10" ht="12.75">
      <c r="A20" s="449">
        <v>36959</v>
      </c>
      <c r="B20" s="448" t="s">
        <v>413</v>
      </c>
      <c r="C20" s="448" t="s">
        <v>272</v>
      </c>
      <c r="D20" s="450">
        <v>0.14</v>
      </c>
      <c r="E20" s="448" t="s">
        <v>198</v>
      </c>
      <c r="F20" s="450">
        <v>0.14</v>
      </c>
      <c r="G20" s="448"/>
      <c r="H20" s="448"/>
      <c r="I20" s="448"/>
      <c r="J20" s="448"/>
    </row>
    <row r="21" spans="1:10" ht="12.75">
      <c r="A21" s="449">
        <v>37027</v>
      </c>
      <c r="B21" s="448" t="s">
        <v>413</v>
      </c>
      <c r="C21" s="448" t="s">
        <v>272</v>
      </c>
      <c r="D21" s="450">
        <v>0.14</v>
      </c>
      <c r="E21" s="448" t="s">
        <v>198</v>
      </c>
      <c r="F21" s="450">
        <v>0.14</v>
      </c>
      <c r="G21" s="448"/>
      <c r="H21" s="448"/>
      <c r="I21" s="448"/>
      <c r="J21" s="448"/>
    </row>
    <row r="22" spans="1:10" ht="12.75">
      <c r="A22" s="449">
        <v>37119</v>
      </c>
      <c r="B22" s="448" t="s">
        <v>413</v>
      </c>
      <c r="C22" s="448" t="s">
        <v>272</v>
      </c>
      <c r="D22" s="450">
        <v>0.14</v>
      </c>
      <c r="E22" s="448" t="s">
        <v>198</v>
      </c>
      <c r="F22" s="450">
        <v>0.14</v>
      </c>
      <c r="G22" s="448"/>
      <c r="H22" s="448"/>
      <c r="I22" s="448"/>
      <c r="J22" s="448"/>
    </row>
    <row r="23" spans="1:10" ht="12.75">
      <c r="A23" s="449">
        <v>37243</v>
      </c>
      <c r="B23" s="448" t="s">
        <v>413</v>
      </c>
      <c r="C23" s="448" t="s">
        <v>272</v>
      </c>
      <c r="D23" s="450">
        <v>0.1408</v>
      </c>
      <c r="E23" s="448" t="s">
        <v>198</v>
      </c>
      <c r="F23" s="450">
        <v>0.1408</v>
      </c>
      <c r="G23" s="448"/>
      <c r="H23" s="448"/>
      <c r="I23" s="448"/>
      <c r="J23" s="448"/>
    </row>
    <row r="24" spans="1:10" ht="12.75">
      <c r="A24" s="449">
        <v>37332</v>
      </c>
      <c r="B24" s="448" t="s">
        <v>413</v>
      </c>
      <c r="C24" s="448" t="s">
        <v>272</v>
      </c>
      <c r="D24" s="450">
        <v>0.1408</v>
      </c>
      <c r="E24" s="448" t="s">
        <v>198</v>
      </c>
      <c r="F24" s="450">
        <v>0.1408</v>
      </c>
      <c r="G24" s="448"/>
      <c r="H24" s="448"/>
      <c r="I24" s="448"/>
      <c r="J24" s="448"/>
    </row>
    <row r="25" spans="1:10" ht="12.75">
      <c r="A25" s="449">
        <v>37416</v>
      </c>
      <c r="B25" s="448" t="s">
        <v>413</v>
      </c>
      <c r="C25" s="448" t="s">
        <v>272</v>
      </c>
      <c r="D25" s="450">
        <v>0.1408</v>
      </c>
      <c r="E25" s="448" t="s">
        <v>198</v>
      </c>
      <c r="F25" s="450">
        <v>0.1408</v>
      </c>
      <c r="G25" s="448"/>
      <c r="H25" s="448"/>
      <c r="I25" s="448"/>
      <c r="J25" s="448"/>
    </row>
    <row r="26" spans="1:10" ht="12.75">
      <c r="A26" s="449">
        <v>37521</v>
      </c>
      <c r="B26" s="448" t="s">
        <v>413</v>
      </c>
      <c r="C26" s="448" t="s">
        <v>272</v>
      </c>
      <c r="D26" s="450">
        <v>0.1408</v>
      </c>
      <c r="E26" s="448" t="s">
        <v>198</v>
      </c>
      <c r="F26" s="450">
        <v>0.1408</v>
      </c>
      <c r="G26" s="448"/>
      <c r="H26" s="448"/>
      <c r="I26" s="448"/>
      <c r="J26" s="448"/>
    </row>
    <row r="27" spans="1:10" ht="12.75">
      <c r="A27" s="449">
        <v>37591</v>
      </c>
      <c r="B27" s="448" t="s">
        <v>413</v>
      </c>
      <c r="C27" s="448" t="s">
        <v>272</v>
      </c>
      <c r="D27" s="448">
        <v>0.07</v>
      </c>
      <c r="E27" s="448" t="s">
        <v>198</v>
      </c>
      <c r="F27" s="450">
        <v>0.07</v>
      </c>
      <c r="G27" s="448"/>
      <c r="H27" s="448"/>
      <c r="I27" s="448"/>
      <c r="J27" s="448"/>
    </row>
    <row r="28" spans="1:10" ht="12.75">
      <c r="A28" s="449">
        <v>37671</v>
      </c>
      <c r="B28" s="448" t="s">
        <v>413</v>
      </c>
      <c r="C28" s="448" t="s">
        <v>272</v>
      </c>
      <c r="D28" s="448">
        <v>0.07</v>
      </c>
      <c r="E28" s="448" t="s">
        <v>198</v>
      </c>
      <c r="F28" s="450">
        <v>0.07</v>
      </c>
      <c r="G28" s="448"/>
      <c r="H28" s="448" t="s">
        <v>272</v>
      </c>
      <c r="I28" s="448">
        <v>0.07</v>
      </c>
      <c r="J28" s="448" t="s">
        <v>198</v>
      </c>
    </row>
    <row r="29" spans="1:10" ht="12.75">
      <c r="A29" s="449">
        <v>35806</v>
      </c>
      <c r="B29" s="448" t="s">
        <v>414</v>
      </c>
      <c r="C29" s="448"/>
      <c r="D29" s="446">
        <v>0.005</v>
      </c>
      <c r="E29" s="448" t="s">
        <v>198</v>
      </c>
      <c r="F29" s="451">
        <v>0.001</v>
      </c>
      <c r="G29" s="448"/>
      <c r="H29" s="448"/>
      <c r="I29" s="448"/>
      <c r="J29" s="448"/>
    </row>
    <row r="30" spans="1:10" ht="12.75">
      <c r="A30" s="449">
        <v>35899</v>
      </c>
      <c r="B30" s="448" t="s">
        <v>414</v>
      </c>
      <c r="C30" s="448" t="s">
        <v>272</v>
      </c>
      <c r="D30" s="451">
        <v>0.001</v>
      </c>
      <c r="E30" s="448" t="s">
        <v>198</v>
      </c>
      <c r="F30" s="451">
        <v>0.001</v>
      </c>
      <c r="G30" s="448"/>
      <c r="H30" s="448"/>
      <c r="I30" s="448"/>
      <c r="J30" s="448"/>
    </row>
    <row r="31" spans="1:10" ht="12.75">
      <c r="A31" s="449">
        <v>35929</v>
      </c>
      <c r="B31" s="448" t="s">
        <v>414</v>
      </c>
      <c r="C31" s="448" t="s">
        <v>272</v>
      </c>
      <c r="D31" s="451">
        <v>0.001</v>
      </c>
      <c r="E31" s="448" t="s">
        <v>198</v>
      </c>
      <c r="F31" s="451">
        <v>0.001</v>
      </c>
      <c r="G31" s="448"/>
      <c r="H31" s="448"/>
      <c r="I31" s="448"/>
      <c r="J31" s="448"/>
    </row>
    <row r="32" spans="1:10" ht="12.75">
      <c r="A32" s="449">
        <v>36081</v>
      </c>
      <c r="B32" s="448" t="s">
        <v>414</v>
      </c>
      <c r="C32" s="448" t="s">
        <v>272</v>
      </c>
      <c r="D32" s="451">
        <v>0.001</v>
      </c>
      <c r="E32" s="448" t="s">
        <v>198</v>
      </c>
      <c r="F32" s="451">
        <v>0.001</v>
      </c>
      <c r="G32" s="448"/>
      <c r="H32" s="448"/>
      <c r="I32" s="448"/>
      <c r="J32" s="448"/>
    </row>
    <row r="33" spans="1:10" ht="12.75">
      <c r="A33" s="449">
        <v>36171</v>
      </c>
      <c r="B33" s="448" t="s">
        <v>414</v>
      </c>
      <c r="C33" s="448" t="s">
        <v>272</v>
      </c>
      <c r="D33" s="450">
        <v>0.01</v>
      </c>
      <c r="E33" s="448" t="s">
        <v>198</v>
      </c>
      <c r="F33" s="450">
        <v>0.01</v>
      </c>
      <c r="G33" s="448"/>
      <c r="H33" s="448"/>
      <c r="I33" s="448"/>
      <c r="J33" s="448"/>
    </row>
    <row r="34" spans="1:10" ht="12.75">
      <c r="A34" s="449">
        <v>36264</v>
      </c>
      <c r="B34" s="448" t="s">
        <v>414</v>
      </c>
      <c r="C34" s="448" t="s">
        <v>272</v>
      </c>
      <c r="D34" s="450">
        <v>0.01</v>
      </c>
      <c r="E34" s="448" t="s">
        <v>198</v>
      </c>
      <c r="F34" s="450">
        <v>0.01</v>
      </c>
      <c r="G34" s="448"/>
      <c r="H34" s="448"/>
      <c r="I34" s="448"/>
      <c r="J34" s="448"/>
    </row>
    <row r="35" spans="1:10" ht="12.75">
      <c r="A35" s="449">
        <v>36355</v>
      </c>
      <c r="B35" s="448" t="s">
        <v>414</v>
      </c>
      <c r="C35" s="448" t="s">
        <v>272</v>
      </c>
      <c r="D35" s="450">
        <v>0.01</v>
      </c>
      <c r="E35" s="448" t="s">
        <v>198</v>
      </c>
      <c r="F35" s="450">
        <v>0.01</v>
      </c>
      <c r="G35" s="448"/>
      <c r="H35" s="448"/>
      <c r="I35" s="448"/>
      <c r="J35" s="448"/>
    </row>
    <row r="36" spans="1:10" ht="12.75">
      <c r="A36" s="449">
        <v>36510</v>
      </c>
      <c r="B36" s="448" t="s">
        <v>414</v>
      </c>
      <c r="C36" s="448" t="s">
        <v>272</v>
      </c>
      <c r="D36" s="451">
        <v>0.001</v>
      </c>
      <c r="E36" s="448" t="s">
        <v>198</v>
      </c>
      <c r="F36" s="451">
        <v>0.001</v>
      </c>
      <c r="G36" s="448"/>
      <c r="H36" s="448"/>
      <c r="I36" s="448"/>
      <c r="J36" s="448"/>
    </row>
    <row r="37" spans="1:10" ht="12.75">
      <c r="A37" s="449">
        <v>36566</v>
      </c>
      <c r="B37" s="448" t="s">
        <v>414</v>
      </c>
      <c r="C37" s="448" t="s">
        <v>272</v>
      </c>
      <c r="D37" s="451">
        <v>0.001</v>
      </c>
      <c r="E37" s="448" t="s">
        <v>198</v>
      </c>
      <c r="F37" s="451">
        <v>0.001</v>
      </c>
      <c r="G37" s="448"/>
      <c r="H37" s="448"/>
      <c r="I37" s="448"/>
      <c r="J37" s="448"/>
    </row>
    <row r="38" spans="1:10" ht="12.75">
      <c r="A38" s="449">
        <v>36685</v>
      </c>
      <c r="B38" s="448" t="s">
        <v>414</v>
      </c>
      <c r="C38" s="448" t="s">
        <v>272</v>
      </c>
      <c r="D38" s="451">
        <v>0.001</v>
      </c>
      <c r="E38" s="448" t="s">
        <v>198</v>
      </c>
      <c r="F38" s="451">
        <v>0.001</v>
      </c>
      <c r="G38" s="448"/>
      <c r="H38" s="448"/>
      <c r="I38" s="448"/>
      <c r="J38" s="448"/>
    </row>
    <row r="39" spans="1:10" ht="12.75">
      <c r="A39" s="449">
        <v>36875</v>
      </c>
      <c r="B39" s="448" t="s">
        <v>414</v>
      </c>
      <c r="C39" s="448" t="s">
        <v>272</v>
      </c>
      <c r="D39" s="450">
        <v>0.01</v>
      </c>
      <c r="E39" s="448" t="s">
        <v>198</v>
      </c>
      <c r="F39" s="450">
        <v>0.01</v>
      </c>
      <c r="G39" s="448"/>
      <c r="H39" s="448"/>
      <c r="I39" s="448"/>
      <c r="J39" s="448"/>
    </row>
    <row r="40" spans="1:10" ht="12.75">
      <c r="A40" s="449">
        <v>36959</v>
      </c>
      <c r="B40" s="448" t="s">
        <v>414</v>
      </c>
      <c r="C40" s="448" t="s">
        <v>272</v>
      </c>
      <c r="D40" s="450">
        <v>0.01</v>
      </c>
      <c r="E40" s="448" t="s">
        <v>198</v>
      </c>
      <c r="F40" s="450">
        <v>0.01</v>
      </c>
      <c r="G40" s="448"/>
      <c r="H40" s="448"/>
      <c r="I40" s="448"/>
      <c r="J40" s="448"/>
    </row>
    <row r="41" spans="1:10" ht="12.75">
      <c r="A41" s="449">
        <v>37027</v>
      </c>
      <c r="B41" s="448" t="s">
        <v>414</v>
      </c>
      <c r="C41" s="448" t="s">
        <v>272</v>
      </c>
      <c r="D41" s="450">
        <v>0.01</v>
      </c>
      <c r="E41" s="448" t="s">
        <v>198</v>
      </c>
      <c r="F41" s="450">
        <v>0.01</v>
      </c>
      <c r="G41" s="448"/>
      <c r="H41" s="448"/>
      <c r="I41" s="448"/>
      <c r="J41" s="448"/>
    </row>
    <row r="42" spans="1:10" ht="12.75">
      <c r="A42" s="449">
        <v>37119</v>
      </c>
      <c r="B42" s="448" t="s">
        <v>414</v>
      </c>
      <c r="C42" s="448" t="s">
        <v>272</v>
      </c>
      <c r="D42" s="450">
        <v>0.01</v>
      </c>
      <c r="E42" s="448" t="s">
        <v>198</v>
      </c>
      <c r="F42" s="450">
        <v>0.01</v>
      </c>
      <c r="G42" s="448"/>
      <c r="H42" s="448"/>
      <c r="I42" s="448"/>
      <c r="J42" s="448"/>
    </row>
    <row r="43" spans="1:10" ht="12.75">
      <c r="A43" s="449">
        <v>37243</v>
      </c>
      <c r="B43" s="448" t="s">
        <v>414</v>
      </c>
      <c r="C43" s="448" t="s">
        <v>272</v>
      </c>
      <c r="D43" s="450">
        <v>0.0108</v>
      </c>
      <c r="E43" s="448" t="s">
        <v>198</v>
      </c>
      <c r="F43" s="450">
        <v>0.0108</v>
      </c>
      <c r="G43" s="448"/>
      <c r="H43" s="448"/>
      <c r="I43" s="448"/>
      <c r="J43" s="448"/>
    </row>
    <row r="44" spans="1:10" ht="12.75">
      <c r="A44" s="449">
        <v>37332</v>
      </c>
      <c r="B44" s="448" t="s">
        <v>414</v>
      </c>
      <c r="C44" s="448" t="s">
        <v>272</v>
      </c>
      <c r="D44" s="450">
        <v>0.0108</v>
      </c>
      <c r="E44" s="448" t="s">
        <v>198</v>
      </c>
      <c r="F44" s="450">
        <v>0.0108</v>
      </c>
      <c r="G44" s="448"/>
      <c r="H44" s="448"/>
      <c r="I44" s="448"/>
      <c r="J44" s="448"/>
    </row>
    <row r="45" spans="1:10" ht="12.75">
      <c r="A45" s="449">
        <v>37416</v>
      </c>
      <c r="B45" s="448" t="s">
        <v>414</v>
      </c>
      <c r="C45" s="448" t="s">
        <v>272</v>
      </c>
      <c r="D45" s="450">
        <v>0.0108</v>
      </c>
      <c r="E45" s="448" t="s">
        <v>198</v>
      </c>
      <c r="F45" s="450">
        <v>0.0108</v>
      </c>
      <c r="G45" s="448"/>
      <c r="H45" s="448"/>
      <c r="I45" s="448"/>
      <c r="J45" s="448"/>
    </row>
    <row r="46" spans="1:10" ht="12.75">
      <c r="A46" s="449">
        <v>37521</v>
      </c>
      <c r="B46" s="448" t="s">
        <v>414</v>
      </c>
      <c r="C46" s="448" t="s">
        <v>272</v>
      </c>
      <c r="D46" s="450">
        <v>0.0108</v>
      </c>
      <c r="E46" s="448" t="s">
        <v>198</v>
      </c>
      <c r="F46" s="450">
        <v>0.0108</v>
      </c>
      <c r="G46" s="448"/>
      <c r="H46" s="448"/>
      <c r="I46" s="448"/>
      <c r="J46" s="448"/>
    </row>
    <row r="47" spans="1:10" ht="12.75">
      <c r="A47" s="449">
        <v>37591</v>
      </c>
      <c r="B47" s="448" t="s">
        <v>414</v>
      </c>
      <c r="C47" s="448" t="s">
        <v>272</v>
      </c>
      <c r="D47" s="448">
        <v>0.01</v>
      </c>
      <c r="E47" s="448" t="s">
        <v>198</v>
      </c>
      <c r="F47" s="450">
        <v>0.01</v>
      </c>
      <c r="G47" s="448"/>
      <c r="H47" s="448"/>
      <c r="I47" s="448"/>
      <c r="J47" s="448"/>
    </row>
    <row r="48" spans="1:10" ht="12.75">
      <c r="A48" s="449">
        <v>37671</v>
      </c>
      <c r="B48" s="448" t="s">
        <v>414</v>
      </c>
      <c r="C48" s="448" t="s">
        <v>272</v>
      </c>
      <c r="D48" s="448">
        <v>0.01</v>
      </c>
      <c r="E48" s="448" t="s">
        <v>198</v>
      </c>
      <c r="F48" s="450">
        <v>0.01</v>
      </c>
      <c r="G48" s="448"/>
      <c r="H48" s="448"/>
      <c r="I48" s="446">
        <v>0.005</v>
      </c>
      <c r="J48" s="448" t="s">
        <v>198</v>
      </c>
    </row>
    <row r="49" spans="1:10" ht="12.75">
      <c r="A49" s="449">
        <v>35806</v>
      </c>
      <c r="B49" s="448" t="s">
        <v>415</v>
      </c>
      <c r="C49" s="448" t="s">
        <v>272</v>
      </c>
      <c r="D49" s="451">
        <v>0.007</v>
      </c>
      <c r="E49" s="448" t="s">
        <v>198</v>
      </c>
      <c r="F49" s="451">
        <v>0.007</v>
      </c>
      <c r="G49" s="448"/>
      <c r="H49" s="448"/>
      <c r="I49" s="448"/>
      <c r="J49" s="448"/>
    </row>
    <row r="50" spans="1:10" ht="12.75">
      <c r="A50" s="449">
        <v>35899</v>
      </c>
      <c r="B50" s="448" t="s">
        <v>415</v>
      </c>
      <c r="C50" s="448" t="s">
        <v>272</v>
      </c>
      <c r="D50" s="451">
        <v>0.007</v>
      </c>
      <c r="E50" s="448" t="s">
        <v>198</v>
      </c>
      <c r="F50" s="451">
        <v>0.007</v>
      </c>
      <c r="G50" s="448"/>
      <c r="H50" s="448"/>
      <c r="I50" s="448"/>
      <c r="J50" s="448"/>
    </row>
    <row r="51" spans="1:10" ht="12.75">
      <c r="A51" s="449">
        <v>35929</v>
      </c>
      <c r="B51" s="448" t="s">
        <v>415</v>
      </c>
      <c r="C51" s="448" t="s">
        <v>272</v>
      </c>
      <c r="D51" s="451">
        <v>0.007</v>
      </c>
      <c r="E51" s="448" t="s">
        <v>198</v>
      </c>
      <c r="F51" s="451">
        <v>0.007</v>
      </c>
      <c r="G51" s="448"/>
      <c r="H51" s="448"/>
      <c r="I51" s="448"/>
      <c r="J51" s="448"/>
    </row>
    <row r="52" spans="1:10" ht="12.75">
      <c r="A52" s="449">
        <v>36081</v>
      </c>
      <c r="B52" s="448" t="s">
        <v>415</v>
      </c>
      <c r="C52" s="448" t="s">
        <v>272</v>
      </c>
      <c r="D52" s="451">
        <v>0.007</v>
      </c>
      <c r="E52" s="448" t="s">
        <v>198</v>
      </c>
      <c r="F52" s="451">
        <v>0.007</v>
      </c>
      <c r="G52" s="448"/>
      <c r="H52" s="448"/>
      <c r="I52" s="448"/>
      <c r="J52" s="448"/>
    </row>
    <row r="53" spans="1:10" ht="12.75">
      <c r="A53" s="449">
        <v>36171</v>
      </c>
      <c r="B53" s="448" t="s">
        <v>415</v>
      </c>
      <c r="C53" s="448" t="s">
        <v>272</v>
      </c>
      <c r="D53" s="450">
        <v>0.01</v>
      </c>
      <c r="E53" s="448" t="s">
        <v>198</v>
      </c>
      <c r="F53" s="450">
        <v>0.01</v>
      </c>
      <c r="G53" s="448"/>
      <c r="H53" s="448"/>
      <c r="I53" s="448"/>
      <c r="J53" s="448"/>
    </row>
    <row r="54" spans="1:10" ht="12.75">
      <c r="A54" s="449">
        <v>36264</v>
      </c>
      <c r="B54" s="448" t="s">
        <v>415</v>
      </c>
      <c r="C54" s="448" t="s">
        <v>272</v>
      </c>
      <c r="D54" s="450">
        <v>0.01</v>
      </c>
      <c r="E54" s="448" t="s">
        <v>198</v>
      </c>
      <c r="F54" s="450">
        <v>0.01</v>
      </c>
      <c r="G54" s="448"/>
      <c r="H54" s="448"/>
      <c r="I54" s="448"/>
      <c r="J54" s="448"/>
    </row>
    <row r="55" spans="1:10" ht="12.75">
      <c r="A55" s="449">
        <v>36355</v>
      </c>
      <c r="B55" s="448" t="s">
        <v>415</v>
      </c>
      <c r="C55" s="448" t="s">
        <v>272</v>
      </c>
      <c r="D55" s="450">
        <v>0.01</v>
      </c>
      <c r="E55" s="448" t="s">
        <v>198</v>
      </c>
      <c r="F55" s="450">
        <v>0.01</v>
      </c>
      <c r="G55" s="448"/>
      <c r="H55" s="448"/>
      <c r="I55" s="448"/>
      <c r="J55" s="448"/>
    </row>
    <row r="56" spans="1:10" ht="12.75">
      <c r="A56" s="449">
        <v>36510</v>
      </c>
      <c r="B56" s="448" t="s">
        <v>415</v>
      </c>
      <c r="C56" s="448" t="s">
        <v>272</v>
      </c>
      <c r="D56" s="451">
        <v>0.007</v>
      </c>
      <c r="E56" s="448" t="s">
        <v>198</v>
      </c>
      <c r="F56" s="451">
        <v>0.007</v>
      </c>
      <c r="G56" s="448"/>
      <c r="H56" s="448"/>
      <c r="I56" s="448"/>
      <c r="J56" s="448"/>
    </row>
    <row r="57" spans="1:10" ht="12.75">
      <c r="A57" s="449">
        <v>36566</v>
      </c>
      <c r="B57" s="448" t="s">
        <v>415</v>
      </c>
      <c r="C57" s="448" t="s">
        <v>272</v>
      </c>
      <c r="D57" s="451">
        <v>0.007</v>
      </c>
      <c r="E57" s="448" t="s">
        <v>198</v>
      </c>
      <c r="F57" s="451">
        <v>0.007</v>
      </c>
      <c r="G57" s="448"/>
      <c r="H57" s="448"/>
      <c r="I57" s="448"/>
      <c r="J57" s="448"/>
    </row>
    <row r="58" spans="1:10" ht="12.75">
      <c r="A58" s="449">
        <v>36685</v>
      </c>
      <c r="B58" s="448" t="s">
        <v>415</v>
      </c>
      <c r="C58" s="448" t="s">
        <v>272</v>
      </c>
      <c r="D58" s="451">
        <v>0.007</v>
      </c>
      <c r="E58" s="448" t="s">
        <v>198</v>
      </c>
      <c r="F58" s="451">
        <v>0.007</v>
      </c>
      <c r="G58" s="448"/>
      <c r="H58" s="448"/>
      <c r="I58" s="448"/>
      <c r="J58" s="448"/>
    </row>
    <row r="59" spans="1:10" ht="12.75">
      <c r="A59" s="449">
        <v>36875</v>
      </c>
      <c r="B59" s="448" t="s">
        <v>415</v>
      </c>
      <c r="C59" s="448" t="s">
        <v>272</v>
      </c>
      <c r="D59" s="450">
        <v>0.01</v>
      </c>
      <c r="E59" s="448" t="s">
        <v>198</v>
      </c>
      <c r="F59" s="450">
        <v>0.01</v>
      </c>
      <c r="G59" s="448"/>
      <c r="H59" s="448"/>
      <c r="I59" s="448"/>
      <c r="J59" s="448"/>
    </row>
    <row r="60" spans="1:10" ht="12.75">
      <c r="A60" s="449">
        <v>36959</v>
      </c>
      <c r="B60" s="448" t="s">
        <v>415</v>
      </c>
      <c r="C60" s="448" t="s">
        <v>272</v>
      </c>
      <c r="D60" s="450">
        <v>0.01</v>
      </c>
      <c r="E60" s="448" t="s">
        <v>198</v>
      </c>
      <c r="F60" s="450">
        <v>0.01</v>
      </c>
      <c r="G60" s="448"/>
      <c r="H60" s="448"/>
      <c r="I60" s="448"/>
      <c r="J60" s="448"/>
    </row>
    <row r="61" spans="1:10" ht="12.75">
      <c r="A61" s="449">
        <v>37027</v>
      </c>
      <c r="B61" s="448" t="s">
        <v>415</v>
      </c>
      <c r="C61" s="448" t="s">
        <v>272</v>
      </c>
      <c r="D61" s="450">
        <v>0.01</v>
      </c>
      <c r="E61" s="448" t="s">
        <v>198</v>
      </c>
      <c r="F61" s="450">
        <v>0.01</v>
      </c>
      <c r="G61" s="448"/>
      <c r="H61" s="448"/>
      <c r="I61" s="448"/>
      <c r="J61" s="448"/>
    </row>
    <row r="62" spans="1:10" ht="12.75">
      <c r="A62" s="449">
        <v>37119</v>
      </c>
      <c r="B62" s="448" t="s">
        <v>415</v>
      </c>
      <c r="C62" s="448" t="s">
        <v>272</v>
      </c>
      <c r="D62" s="450">
        <v>0.01</v>
      </c>
      <c r="E62" s="448" t="s">
        <v>198</v>
      </c>
      <c r="F62" s="450">
        <v>0.01</v>
      </c>
      <c r="G62" s="448"/>
      <c r="H62" s="448"/>
      <c r="I62" s="448"/>
      <c r="J62" s="448"/>
    </row>
    <row r="63" spans="1:10" ht="12.75">
      <c r="A63" s="449">
        <v>37243</v>
      </c>
      <c r="B63" s="448" t="s">
        <v>415</v>
      </c>
      <c r="C63" s="448" t="s">
        <v>272</v>
      </c>
      <c r="D63" s="450">
        <v>0.0141</v>
      </c>
      <c r="E63" s="448" t="s">
        <v>198</v>
      </c>
      <c r="F63" s="450">
        <v>0.0141</v>
      </c>
      <c r="G63" s="448"/>
      <c r="H63" s="448"/>
      <c r="I63" s="448"/>
      <c r="J63" s="448"/>
    </row>
    <row r="64" spans="1:10" ht="12.75">
      <c r="A64" s="449">
        <v>37332</v>
      </c>
      <c r="B64" s="448" t="s">
        <v>415</v>
      </c>
      <c r="C64" s="448" t="s">
        <v>272</v>
      </c>
      <c r="D64" s="450">
        <v>0.0141</v>
      </c>
      <c r="E64" s="448" t="s">
        <v>198</v>
      </c>
      <c r="F64" s="450">
        <v>0.0141</v>
      </c>
      <c r="G64" s="448"/>
      <c r="H64" s="448"/>
      <c r="I64" s="448"/>
      <c r="J64" s="448"/>
    </row>
    <row r="65" spans="1:10" ht="12.75">
      <c r="A65" s="449">
        <v>37416</v>
      </c>
      <c r="B65" s="448" t="s">
        <v>415</v>
      </c>
      <c r="C65" s="448" t="s">
        <v>272</v>
      </c>
      <c r="D65" s="450">
        <v>0.0141</v>
      </c>
      <c r="E65" s="448" t="s">
        <v>198</v>
      </c>
      <c r="F65" s="450">
        <v>0.0141</v>
      </c>
      <c r="G65" s="448"/>
      <c r="H65" s="448"/>
      <c r="I65" s="448"/>
      <c r="J65" s="448"/>
    </row>
    <row r="66" spans="1:10" ht="12.75">
      <c r="A66" s="449">
        <v>37521</v>
      </c>
      <c r="B66" s="448" t="s">
        <v>415</v>
      </c>
      <c r="C66" s="448" t="s">
        <v>272</v>
      </c>
      <c r="D66" s="450">
        <v>0.0141</v>
      </c>
      <c r="E66" s="448" t="s">
        <v>198</v>
      </c>
      <c r="F66" s="450">
        <v>0.0141</v>
      </c>
      <c r="G66" s="448"/>
      <c r="H66" s="448"/>
      <c r="I66" s="448"/>
      <c r="J66" s="448"/>
    </row>
    <row r="67" spans="1:10" ht="12.75">
      <c r="A67" s="449">
        <v>37591</v>
      </c>
      <c r="B67" s="448" t="s">
        <v>415</v>
      </c>
      <c r="C67" s="448" t="s">
        <v>272</v>
      </c>
      <c r="D67" s="448">
        <v>0.02</v>
      </c>
      <c r="E67" s="448" t="s">
        <v>198</v>
      </c>
      <c r="F67" s="450">
        <v>0.02</v>
      </c>
      <c r="G67" s="448"/>
      <c r="H67" s="448"/>
      <c r="I67" s="448"/>
      <c r="J67" s="448"/>
    </row>
    <row r="68" spans="1:10" ht="12.75">
      <c r="A68" s="449">
        <v>37671</v>
      </c>
      <c r="B68" s="448" t="s">
        <v>415</v>
      </c>
      <c r="C68" s="448" t="s">
        <v>272</v>
      </c>
      <c r="D68" s="448">
        <v>0.02</v>
      </c>
      <c r="E68" s="448" t="s">
        <v>198</v>
      </c>
      <c r="F68" s="450">
        <v>0.02</v>
      </c>
      <c r="G68" s="448"/>
      <c r="H68" s="448" t="s">
        <v>272</v>
      </c>
      <c r="I68" s="451">
        <v>0.007</v>
      </c>
      <c r="J68" s="448" t="s">
        <v>198</v>
      </c>
    </row>
    <row r="69" spans="1:10" ht="12.75">
      <c r="A69" s="449">
        <v>35806</v>
      </c>
      <c r="B69" s="448" t="s">
        <v>416</v>
      </c>
      <c r="C69" s="448" t="s">
        <v>272</v>
      </c>
      <c r="D69" s="451">
        <v>0.012</v>
      </c>
      <c r="E69" s="448" t="s">
        <v>198</v>
      </c>
      <c r="F69" s="451">
        <v>0.012</v>
      </c>
      <c r="G69" s="448"/>
      <c r="H69" s="448"/>
      <c r="I69" s="448"/>
      <c r="J69" s="448"/>
    </row>
    <row r="70" spans="1:10" ht="12.75">
      <c r="A70" s="449">
        <v>35899</v>
      </c>
      <c r="B70" s="448" t="s">
        <v>416</v>
      </c>
      <c r="C70" s="448" t="s">
        <v>272</v>
      </c>
      <c r="D70" s="451">
        <v>0.012</v>
      </c>
      <c r="E70" s="448" t="s">
        <v>198</v>
      </c>
      <c r="F70" s="451">
        <v>0.012</v>
      </c>
      <c r="G70" s="448"/>
      <c r="H70" s="448"/>
      <c r="I70" s="448"/>
      <c r="J70" s="448"/>
    </row>
    <row r="71" spans="1:10" ht="12.75">
      <c r="A71" s="449">
        <v>35929</v>
      </c>
      <c r="B71" s="448" t="s">
        <v>416</v>
      </c>
      <c r="C71" s="448" t="s">
        <v>272</v>
      </c>
      <c r="D71" s="451">
        <v>0.012</v>
      </c>
      <c r="E71" s="448" t="s">
        <v>198</v>
      </c>
      <c r="F71" s="451">
        <v>0.012</v>
      </c>
      <c r="G71" s="448"/>
      <c r="H71" s="448"/>
      <c r="I71" s="448"/>
      <c r="J71" s="448"/>
    </row>
    <row r="72" spans="1:10" ht="12.75">
      <c r="A72" s="449">
        <v>36081</v>
      </c>
      <c r="B72" s="448" t="s">
        <v>416</v>
      </c>
      <c r="C72" s="448" t="s">
        <v>272</v>
      </c>
      <c r="D72" s="451">
        <v>0.012</v>
      </c>
      <c r="E72" s="448" t="s">
        <v>198</v>
      </c>
      <c r="F72" s="451">
        <v>0.012</v>
      </c>
      <c r="G72" s="448"/>
      <c r="H72" s="448"/>
      <c r="I72" s="448"/>
      <c r="J72" s="448"/>
    </row>
    <row r="73" spans="1:10" ht="12.75">
      <c r="A73" s="449">
        <v>36171</v>
      </c>
      <c r="B73" s="448" t="s">
        <v>416</v>
      </c>
      <c r="C73" s="448" t="s">
        <v>272</v>
      </c>
      <c r="D73" s="450">
        <v>0.012</v>
      </c>
      <c r="E73" s="448" t="s">
        <v>198</v>
      </c>
      <c r="F73" s="450">
        <v>0.012</v>
      </c>
      <c r="G73" s="448"/>
      <c r="H73" s="448"/>
      <c r="I73" s="448"/>
      <c r="J73" s="448"/>
    </row>
    <row r="74" spans="1:10" ht="12.75">
      <c r="A74" s="449">
        <v>36264</v>
      </c>
      <c r="B74" s="448" t="s">
        <v>416</v>
      </c>
      <c r="C74" s="448" t="s">
        <v>272</v>
      </c>
      <c r="D74" s="450">
        <v>0.012</v>
      </c>
      <c r="E74" s="448" t="s">
        <v>198</v>
      </c>
      <c r="F74" s="450">
        <v>0.012</v>
      </c>
      <c r="G74" s="448"/>
      <c r="H74" s="448"/>
      <c r="I74" s="448"/>
      <c r="J74" s="448"/>
    </row>
    <row r="75" spans="1:10" ht="12.75">
      <c r="A75" s="449">
        <v>36355</v>
      </c>
      <c r="B75" s="448" t="s">
        <v>416</v>
      </c>
      <c r="C75" s="448" t="s">
        <v>272</v>
      </c>
      <c r="D75" s="450">
        <v>0.012</v>
      </c>
      <c r="E75" s="448" t="s">
        <v>198</v>
      </c>
      <c r="F75" s="450">
        <v>0.012</v>
      </c>
      <c r="G75" s="448"/>
      <c r="H75" s="448"/>
      <c r="I75" s="448"/>
      <c r="J75" s="448"/>
    </row>
    <row r="76" spans="1:10" ht="12.75">
      <c r="A76" s="449">
        <v>36510</v>
      </c>
      <c r="B76" s="448" t="s">
        <v>416</v>
      </c>
      <c r="C76" s="448" t="s">
        <v>272</v>
      </c>
      <c r="D76" s="451">
        <v>0.012</v>
      </c>
      <c r="E76" s="448" t="s">
        <v>198</v>
      </c>
      <c r="F76" s="451">
        <v>0.012</v>
      </c>
      <c r="G76" s="448"/>
      <c r="H76" s="448"/>
      <c r="I76" s="448"/>
      <c r="J76" s="448"/>
    </row>
    <row r="77" spans="1:10" ht="12.75">
      <c r="A77" s="449">
        <v>36566</v>
      </c>
      <c r="B77" s="448" t="s">
        <v>416</v>
      </c>
      <c r="C77" s="448" t="s">
        <v>272</v>
      </c>
      <c r="D77" s="451">
        <v>0.012</v>
      </c>
      <c r="E77" s="448" t="s">
        <v>198</v>
      </c>
      <c r="F77" s="451">
        <v>0.012</v>
      </c>
      <c r="G77" s="448"/>
      <c r="H77" s="448"/>
      <c r="I77" s="448"/>
      <c r="J77" s="448"/>
    </row>
    <row r="78" spans="1:10" ht="12.75">
      <c r="A78" s="449">
        <v>36685</v>
      </c>
      <c r="B78" s="448" t="s">
        <v>416</v>
      </c>
      <c r="C78" s="448" t="s">
        <v>272</v>
      </c>
      <c r="D78" s="451">
        <v>0.012</v>
      </c>
      <c r="E78" s="448" t="s">
        <v>198</v>
      </c>
      <c r="F78" s="451">
        <v>0.012</v>
      </c>
      <c r="G78" s="448"/>
      <c r="H78" s="448"/>
      <c r="I78" s="448"/>
      <c r="J78" s="448"/>
    </row>
    <row r="79" spans="1:10" ht="12.75">
      <c r="A79" s="449">
        <v>36875</v>
      </c>
      <c r="B79" s="448" t="s">
        <v>416</v>
      </c>
      <c r="C79" s="448" t="s">
        <v>272</v>
      </c>
      <c r="D79" s="450">
        <v>0.01</v>
      </c>
      <c r="E79" s="448" t="s">
        <v>198</v>
      </c>
      <c r="F79" s="450">
        <v>0.01</v>
      </c>
      <c r="G79" s="448"/>
      <c r="H79" s="448"/>
      <c r="I79" s="448"/>
      <c r="J79" s="448"/>
    </row>
    <row r="80" spans="1:10" ht="12.75">
      <c r="A80" s="449">
        <v>36959</v>
      </c>
      <c r="B80" s="448" t="s">
        <v>416</v>
      </c>
      <c r="C80" s="448" t="s">
        <v>272</v>
      </c>
      <c r="D80" s="450">
        <v>0.01</v>
      </c>
      <c r="E80" s="448" t="s">
        <v>198</v>
      </c>
      <c r="F80" s="450">
        <v>0.01</v>
      </c>
      <c r="G80" s="448"/>
      <c r="H80" s="448"/>
      <c r="I80" s="448"/>
      <c r="J80" s="448"/>
    </row>
    <row r="81" spans="1:10" ht="12.75">
      <c r="A81" s="449">
        <v>37027</v>
      </c>
      <c r="B81" s="448" t="s">
        <v>416</v>
      </c>
      <c r="C81" s="448" t="s">
        <v>272</v>
      </c>
      <c r="D81" s="450">
        <v>0.01</v>
      </c>
      <c r="E81" s="448" t="s">
        <v>198</v>
      </c>
      <c r="F81" s="450">
        <v>0.01</v>
      </c>
      <c r="G81" s="448"/>
      <c r="H81" s="448"/>
      <c r="I81" s="448"/>
      <c r="J81" s="448"/>
    </row>
    <row r="82" spans="1:10" ht="12.75">
      <c r="A82" s="449">
        <v>37119</v>
      </c>
      <c r="B82" s="448" t="s">
        <v>416</v>
      </c>
      <c r="C82" s="448" t="s">
        <v>272</v>
      </c>
      <c r="D82" s="450">
        <v>0.01</v>
      </c>
      <c r="E82" s="448" t="s">
        <v>198</v>
      </c>
      <c r="F82" s="450">
        <v>0.01</v>
      </c>
      <c r="G82" s="448"/>
      <c r="H82" s="448"/>
      <c r="I82" s="448"/>
      <c r="J82" s="448"/>
    </row>
    <row r="83" spans="1:10" ht="12.75">
      <c r="A83" s="449">
        <v>37243</v>
      </c>
      <c r="B83" s="448" t="s">
        <v>416</v>
      </c>
      <c r="C83" s="448" t="s">
        <v>272</v>
      </c>
      <c r="D83" s="450">
        <v>0.0082</v>
      </c>
      <c r="E83" s="448" t="s">
        <v>198</v>
      </c>
      <c r="F83" s="450">
        <v>0.0082</v>
      </c>
      <c r="G83" s="448"/>
      <c r="H83" s="448"/>
      <c r="I83" s="448"/>
      <c r="J83" s="448"/>
    </row>
    <row r="84" spans="1:10" ht="12.75">
      <c r="A84" s="449">
        <v>37332</v>
      </c>
      <c r="B84" s="448" t="s">
        <v>416</v>
      </c>
      <c r="C84" s="448" t="s">
        <v>272</v>
      </c>
      <c r="D84" s="450">
        <v>0.0082</v>
      </c>
      <c r="E84" s="448" t="s">
        <v>198</v>
      </c>
      <c r="F84" s="450">
        <v>0.0082</v>
      </c>
      <c r="G84" s="448"/>
      <c r="H84" s="448"/>
      <c r="I84" s="448"/>
      <c r="J84" s="448"/>
    </row>
    <row r="85" spans="1:10" ht="12.75">
      <c r="A85" s="449">
        <v>37416</v>
      </c>
      <c r="B85" s="448" t="s">
        <v>416</v>
      </c>
      <c r="C85" s="448" t="s">
        <v>272</v>
      </c>
      <c r="D85" s="450">
        <v>0.0082</v>
      </c>
      <c r="E85" s="448" t="s">
        <v>198</v>
      </c>
      <c r="F85" s="450">
        <v>0.0082</v>
      </c>
      <c r="G85" s="448"/>
      <c r="H85" s="448"/>
      <c r="I85" s="448"/>
      <c r="J85" s="448"/>
    </row>
    <row r="86" spans="1:10" ht="12.75">
      <c r="A86" s="449">
        <v>37521</v>
      </c>
      <c r="B86" s="448" t="s">
        <v>416</v>
      </c>
      <c r="C86" s="448" t="s">
        <v>272</v>
      </c>
      <c r="D86" s="450">
        <v>0.0082</v>
      </c>
      <c r="E86" s="448" t="s">
        <v>198</v>
      </c>
      <c r="F86" s="450">
        <v>0.0082</v>
      </c>
      <c r="G86" s="448"/>
      <c r="H86" s="448"/>
      <c r="I86" s="448"/>
      <c r="J86" s="448"/>
    </row>
    <row r="87" spans="1:10" ht="12.75">
      <c r="A87" s="449">
        <v>37591</v>
      </c>
      <c r="B87" s="448" t="s">
        <v>416</v>
      </c>
      <c r="C87" s="448" t="s">
        <v>272</v>
      </c>
      <c r="D87" s="448">
        <v>0.02</v>
      </c>
      <c r="E87" s="448" t="s">
        <v>198</v>
      </c>
      <c r="F87" s="450">
        <v>0.02</v>
      </c>
      <c r="G87" s="448"/>
      <c r="H87" s="448"/>
      <c r="I87" s="448"/>
      <c r="J87" s="448"/>
    </row>
    <row r="88" spans="1:10" ht="12.75">
      <c r="A88" s="449">
        <v>37671</v>
      </c>
      <c r="B88" s="448" t="s">
        <v>416</v>
      </c>
      <c r="C88" s="448" t="s">
        <v>272</v>
      </c>
      <c r="D88" s="448">
        <v>0.02</v>
      </c>
      <c r="E88" s="448" t="s">
        <v>198</v>
      </c>
      <c r="F88" s="450">
        <v>0.02</v>
      </c>
      <c r="G88" s="448"/>
      <c r="H88" s="448" t="s">
        <v>272</v>
      </c>
      <c r="I88" s="450">
        <v>0.0082</v>
      </c>
      <c r="J88" s="448" t="s">
        <v>198</v>
      </c>
    </row>
    <row r="89" spans="1:10" ht="12.75">
      <c r="A89" s="449">
        <v>35806</v>
      </c>
      <c r="B89" s="448" t="s">
        <v>417</v>
      </c>
      <c r="C89" s="448" t="s">
        <v>272</v>
      </c>
      <c r="D89" s="451">
        <v>0.003</v>
      </c>
      <c r="E89" s="448" t="s">
        <v>198</v>
      </c>
      <c r="F89" s="451">
        <v>0.003</v>
      </c>
      <c r="G89" s="448"/>
      <c r="H89" s="448"/>
      <c r="I89" s="448"/>
      <c r="J89" s="448"/>
    </row>
    <row r="90" spans="1:10" ht="12.75">
      <c r="A90" s="449">
        <v>35899</v>
      </c>
      <c r="B90" s="448" t="s">
        <v>417</v>
      </c>
      <c r="C90" s="448" t="s">
        <v>272</v>
      </c>
      <c r="D90" s="451">
        <v>0.003</v>
      </c>
      <c r="E90" s="448" t="s">
        <v>198</v>
      </c>
      <c r="F90" s="451">
        <v>0.003</v>
      </c>
      <c r="G90" s="448"/>
      <c r="H90" s="448"/>
      <c r="I90" s="448"/>
      <c r="J90" s="448"/>
    </row>
    <row r="91" spans="1:10" ht="12.75">
      <c r="A91" s="449">
        <v>35929</v>
      </c>
      <c r="B91" s="448" t="s">
        <v>417</v>
      </c>
      <c r="C91" s="448" t="s">
        <v>272</v>
      </c>
      <c r="D91" s="451">
        <v>0.003</v>
      </c>
      <c r="E91" s="448" t="s">
        <v>198</v>
      </c>
      <c r="F91" s="451">
        <v>0.003</v>
      </c>
      <c r="G91" s="448"/>
      <c r="H91" s="448"/>
      <c r="I91" s="448"/>
      <c r="J91" s="448"/>
    </row>
    <row r="92" spans="1:10" ht="12.75">
      <c r="A92" s="449">
        <v>36081</v>
      </c>
      <c r="B92" s="448" t="s">
        <v>417</v>
      </c>
      <c r="C92" s="448" t="s">
        <v>272</v>
      </c>
      <c r="D92" s="451">
        <v>0.003</v>
      </c>
      <c r="E92" s="448" t="s">
        <v>198</v>
      </c>
      <c r="F92" s="451">
        <v>0.003</v>
      </c>
      <c r="G92" s="448"/>
      <c r="H92" s="448"/>
      <c r="I92" s="448"/>
      <c r="J92" s="448"/>
    </row>
    <row r="93" spans="1:10" ht="12.75">
      <c r="A93" s="449">
        <v>36171</v>
      </c>
      <c r="B93" s="448" t="s">
        <v>417</v>
      </c>
      <c r="C93" s="448" t="s">
        <v>272</v>
      </c>
      <c r="D93" s="450">
        <v>0.01</v>
      </c>
      <c r="E93" s="448" t="s">
        <v>198</v>
      </c>
      <c r="F93" s="450">
        <v>0.01</v>
      </c>
      <c r="G93" s="448"/>
      <c r="H93" s="448"/>
      <c r="I93" s="448"/>
      <c r="J93" s="448"/>
    </row>
    <row r="94" spans="1:10" ht="12.75">
      <c r="A94" s="449">
        <v>36264</v>
      </c>
      <c r="B94" s="448" t="s">
        <v>417</v>
      </c>
      <c r="C94" s="448" t="s">
        <v>272</v>
      </c>
      <c r="D94" s="450">
        <v>0.01</v>
      </c>
      <c r="E94" s="448" t="s">
        <v>198</v>
      </c>
      <c r="F94" s="450">
        <v>0.01</v>
      </c>
      <c r="G94" s="448"/>
      <c r="H94" s="448"/>
      <c r="I94" s="448"/>
      <c r="J94" s="448"/>
    </row>
    <row r="95" spans="1:10" ht="12.75">
      <c r="A95" s="449">
        <v>36355</v>
      </c>
      <c r="B95" s="448" t="s">
        <v>417</v>
      </c>
      <c r="C95" s="448" t="s">
        <v>272</v>
      </c>
      <c r="D95" s="450">
        <v>0.01</v>
      </c>
      <c r="E95" s="448" t="s">
        <v>198</v>
      </c>
      <c r="F95" s="450">
        <v>0.01</v>
      </c>
      <c r="G95" s="448"/>
      <c r="H95" s="448"/>
      <c r="I95" s="448"/>
      <c r="J95" s="448"/>
    </row>
    <row r="96" spans="1:10" ht="12.75">
      <c r="A96" s="449">
        <v>36510</v>
      </c>
      <c r="B96" s="448" t="s">
        <v>417</v>
      </c>
      <c r="C96" s="448" t="s">
        <v>272</v>
      </c>
      <c r="D96" s="451">
        <v>0.003</v>
      </c>
      <c r="E96" s="448" t="s">
        <v>198</v>
      </c>
      <c r="F96" s="451">
        <v>0.003</v>
      </c>
      <c r="G96" s="448"/>
      <c r="H96" s="448"/>
      <c r="I96" s="448"/>
      <c r="J96" s="448"/>
    </row>
    <row r="97" spans="1:10" ht="12.75">
      <c r="A97" s="449">
        <v>36566</v>
      </c>
      <c r="B97" s="448" t="s">
        <v>417</v>
      </c>
      <c r="C97" s="448" t="s">
        <v>272</v>
      </c>
      <c r="D97" s="451">
        <v>0.003</v>
      </c>
      <c r="E97" s="448" t="s">
        <v>198</v>
      </c>
      <c r="F97" s="451">
        <v>0.003</v>
      </c>
      <c r="G97" s="448"/>
      <c r="H97" s="448"/>
      <c r="I97" s="448"/>
      <c r="J97" s="448"/>
    </row>
    <row r="98" spans="1:10" ht="12.75">
      <c r="A98" s="449">
        <v>36685</v>
      </c>
      <c r="B98" s="448" t="s">
        <v>417</v>
      </c>
      <c r="C98" s="448" t="s">
        <v>272</v>
      </c>
      <c r="D98" s="451">
        <v>0.003</v>
      </c>
      <c r="E98" s="448" t="s">
        <v>198</v>
      </c>
      <c r="F98" s="451">
        <v>0.003</v>
      </c>
      <c r="G98" s="448"/>
      <c r="H98" s="448"/>
      <c r="I98" s="448"/>
      <c r="J98" s="448"/>
    </row>
    <row r="99" spans="1:10" ht="12.75">
      <c r="A99" s="449">
        <v>36875</v>
      </c>
      <c r="B99" s="448" t="s">
        <v>417</v>
      </c>
      <c r="C99" s="448" t="s">
        <v>272</v>
      </c>
      <c r="D99" s="450">
        <v>0.01</v>
      </c>
      <c r="E99" s="448" t="s">
        <v>198</v>
      </c>
      <c r="F99" s="450">
        <v>0.01</v>
      </c>
      <c r="G99" s="448"/>
      <c r="H99" s="448"/>
      <c r="I99" s="448"/>
      <c r="J99" s="448"/>
    </row>
    <row r="100" spans="1:10" ht="12.75">
      <c r="A100" s="449">
        <v>36959</v>
      </c>
      <c r="B100" s="448" t="s">
        <v>417</v>
      </c>
      <c r="C100" s="448" t="s">
        <v>272</v>
      </c>
      <c r="D100" s="450">
        <v>0.01</v>
      </c>
      <c r="E100" s="448" t="s">
        <v>198</v>
      </c>
      <c r="F100" s="450">
        <v>0.01</v>
      </c>
      <c r="G100" s="448"/>
      <c r="H100" s="448"/>
      <c r="I100" s="448"/>
      <c r="J100" s="448"/>
    </row>
    <row r="101" spans="1:10" ht="12.75">
      <c r="A101" s="449">
        <v>37027</v>
      </c>
      <c r="B101" s="448" t="s">
        <v>417</v>
      </c>
      <c r="C101" s="448" t="s">
        <v>272</v>
      </c>
      <c r="D101" s="450">
        <v>0.01</v>
      </c>
      <c r="E101" s="448" t="s">
        <v>198</v>
      </c>
      <c r="F101" s="450">
        <v>0.01</v>
      </c>
      <c r="G101" s="448"/>
      <c r="H101" s="448"/>
      <c r="I101" s="448"/>
      <c r="J101" s="448"/>
    </row>
    <row r="102" spans="1:10" ht="12.75">
      <c r="A102" s="449">
        <v>37119</v>
      </c>
      <c r="B102" s="448" t="s">
        <v>417</v>
      </c>
      <c r="C102" s="448" t="s">
        <v>272</v>
      </c>
      <c r="D102" s="450">
        <v>0.01</v>
      </c>
      <c r="E102" s="448" t="s">
        <v>198</v>
      </c>
      <c r="F102" s="450">
        <v>0.01</v>
      </c>
      <c r="G102" s="448"/>
      <c r="H102" s="448"/>
      <c r="I102" s="448"/>
      <c r="J102" s="448"/>
    </row>
    <row r="103" spans="1:10" ht="12.75">
      <c r="A103" s="449">
        <v>37243</v>
      </c>
      <c r="B103" s="448" t="s">
        <v>417</v>
      </c>
      <c r="C103" s="448" t="s">
        <v>272</v>
      </c>
      <c r="D103" s="450">
        <v>0.0111</v>
      </c>
      <c r="E103" s="448" t="s">
        <v>198</v>
      </c>
      <c r="F103" s="450">
        <v>0.0111</v>
      </c>
      <c r="G103" s="448"/>
      <c r="H103" s="448"/>
      <c r="I103" s="448"/>
      <c r="J103" s="448"/>
    </row>
    <row r="104" spans="1:10" ht="12.75">
      <c r="A104" s="449">
        <v>37332</v>
      </c>
      <c r="B104" s="448" t="s">
        <v>417</v>
      </c>
      <c r="C104" s="448" t="s">
        <v>272</v>
      </c>
      <c r="D104" s="450">
        <v>0.0111</v>
      </c>
      <c r="E104" s="448" t="s">
        <v>198</v>
      </c>
      <c r="F104" s="450">
        <v>0.0111</v>
      </c>
      <c r="G104" s="448"/>
      <c r="H104" s="448"/>
      <c r="I104" s="448"/>
      <c r="J104" s="448"/>
    </row>
    <row r="105" spans="1:10" ht="12.75">
      <c r="A105" s="449">
        <v>37416</v>
      </c>
      <c r="B105" s="448" t="s">
        <v>417</v>
      </c>
      <c r="C105" s="448" t="s">
        <v>272</v>
      </c>
      <c r="D105" s="450">
        <v>0.0111</v>
      </c>
      <c r="E105" s="448" t="s">
        <v>198</v>
      </c>
      <c r="F105" s="450">
        <v>0.0111</v>
      </c>
      <c r="G105" s="448"/>
      <c r="H105" s="448"/>
      <c r="I105" s="448"/>
      <c r="J105" s="448"/>
    </row>
    <row r="106" spans="1:10" ht="12.75">
      <c r="A106" s="449">
        <v>37521</v>
      </c>
      <c r="B106" s="448" t="s">
        <v>417</v>
      </c>
      <c r="C106" s="448" t="s">
        <v>272</v>
      </c>
      <c r="D106" s="450">
        <v>0.0111</v>
      </c>
      <c r="E106" s="448" t="s">
        <v>198</v>
      </c>
      <c r="F106" s="450">
        <v>0.0111</v>
      </c>
      <c r="G106" s="448"/>
      <c r="H106" s="448"/>
      <c r="I106" s="448"/>
      <c r="J106" s="448"/>
    </row>
    <row r="107" spans="1:10" ht="12.75">
      <c r="A107" s="449">
        <v>37591</v>
      </c>
      <c r="B107" s="448" t="s">
        <v>417</v>
      </c>
      <c r="C107" s="448" t="s">
        <v>272</v>
      </c>
      <c r="D107" s="448">
        <v>0.02</v>
      </c>
      <c r="E107" s="448" t="s">
        <v>198</v>
      </c>
      <c r="F107" s="450">
        <v>0.02</v>
      </c>
      <c r="G107" s="448"/>
      <c r="H107" s="448"/>
      <c r="I107" s="448"/>
      <c r="J107" s="448"/>
    </row>
    <row r="108" spans="1:10" ht="12.75">
      <c r="A108" s="449">
        <v>37671</v>
      </c>
      <c r="B108" s="448" t="s">
        <v>417</v>
      </c>
      <c r="C108" s="448" t="s">
        <v>272</v>
      </c>
      <c r="D108" s="448">
        <v>0.02</v>
      </c>
      <c r="E108" s="448" t="s">
        <v>198</v>
      </c>
      <c r="F108" s="450">
        <v>0.02</v>
      </c>
      <c r="G108" s="448"/>
      <c r="H108" s="448" t="s">
        <v>272</v>
      </c>
      <c r="I108" s="451">
        <v>0.003</v>
      </c>
      <c r="J108" s="448" t="s">
        <v>198</v>
      </c>
    </row>
    <row r="109" spans="1:10" ht="12.75">
      <c r="A109" s="449">
        <v>35806</v>
      </c>
      <c r="B109" s="448" t="s">
        <v>418</v>
      </c>
      <c r="C109" s="448" t="s">
        <v>272</v>
      </c>
      <c r="D109" s="451">
        <v>0.014</v>
      </c>
      <c r="E109" s="448" t="s">
        <v>198</v>
      </c>
      <c r="F109" s="451">
        <v>0.014</v>
      </c>
      <c r="G109" s="448"/>
      <c r="H109" s="448"/>
      <c r="I109" s="448"/>
      <c r="J109" s="448"/>
    </row>
    <row r="110" spans="1:10" ht="12.75">
      <c r="A110" s="449">
        <v>35899</v>
      </c>
      <c r="B110" s="448" t="s">
        <v>418</v>
      </c>
      <c r="C110" s="448" t="s">
        <v>272</v>
      </c>
      <c r="D110" s="451">
        <v>0.014</v>
      </c>
      <c r="E110" s="448" t="s">
        <v>198</v>
      </c>
      <c r="F110" s="451">
        <v>0.014</v>
      </c>
      <c r="G110" s="448"/>
      <c r="H110" s="448"/>
      <c r="I110" s="448"/>
      <c r="J110" s="448"/>
    </row>
    <row r="111" spans="1:10" ht="12.75">
      <c r="A111" s="449">
        <v>35929</v>
      </c>
      <c r="B111" s="448" t="s">
        <v>418</v>
      </c>
      <c r="C111" s="448" t="s">
        <v>272</v>
      </c>
      <c r="D111" s="451">
        <v>0.014</v>
      </c>
      <c r="E111" s="448" t="s">
        <v>198</v>
      </c>
      <c r="F111" s="451">
        <v>0.014</v>
      </c>
      <c r="G111" s="448"/>
      <c r="H111" s="448"/>
      <c r="I111" s="448"/>
      <c r="J111" s="448"/>
    </row>
    <row r="112" spans="1:10" ht="12.75">
      <c r="A112" s="449">
        <v>36081</v>
      </c>
      <c r="B112" s="448" t="s">
        <v>418</v>
      </c>
      <c r="C112" s="448" t="s">
        <v>272</v>
      </c>
      <c r="D112" s="451">
        <v>0.014</v>
      </c>
      <c r="E112" s="448" t="s">
        <v>198</v>
      </c>
      <c r="F112" s="451">
        <v>0.014</v>
      </c>
      <c r="G112" s="448"/>
      <c r="H112" s="448"/>
      <c r="I112" s="448"/>
      <c r="J112" s="448"/>
    </row>
    <row r="113" spans="1:10" ht="12.75">
      <c r="A113" s="449">
        <v>36171</v>
      </c>
      <c r="B113" s="448" t="s">
        <v>418</v>
      </c>
      <c r="C113" s="448" t="s">
        <v>272</v>
      </c>
      <c r="D113" s="450">
        <v>0.01</v>
      </c>
      <c r="E113" s="448" t="s">
        <v>198</v>
      </c>
      <c r="F113" s="450">
        <v>0.01</v>
      </c>
      <c r="G113" s="448"/>
      <c r="H113" s="448"/>
      <c r="I113" s="448"/>
      <c r="J113" s="448"/>
    </row>
    <row r="114" spans="1:10" ht="12.75">
      <c r="A114" s="449">
        <v>36264</v>
      </c>
      <c r="B114" s="448" t="s">
        <v>418</v>
      </c>
      <c r="C114" s="448" t="s">
        <v>272</v>
      </c>
      <c r="D114" s="450">
        <v>0.01</v>
      </c>
      <c r="E114" s="448" t="s">
        <v>198</v>
      </c>
      <c r="F114" s="450">
        <v>0.01</v>
      </c>
      <c r="G114" s="448"/>
      <c r="H114" s="448"/>
      <c r="I114" s="448"/>
      <c r="J114" s="448"/>
    </row>
    <row r="115" spans="1:10" ht="12.75">
      <c r="A115" s="449">
        <v>36355</v>
      </c>
      <c r="B115" s="448" t="s">
        <v>418</v>
      </c>
      <c r="C115" s="448" t="s">
        <v>272</v>
      </c>
      <c r="D115" s="450">
        <v>0.01</v>
      </c>
      <c r="E115" s="448" t="s">
        <v>198</v>
      </c>
      <c r="F115" s="450">
        <v>0.01</v>
      </c>
      <c r="G115" s="448"/>
      <c r="H115" s="448"/>
      <c r="I115" s="448"/>
      <c r="J115" s="448"/>
    </row>
    <row r="116" spans="1:10" ht="12.75">
      <c r="A116" s="449">
        <v>36510</v>
      </c>
      <c r="B116" s="448" t="s">
        <v>418</v>
      </c>
      <c r="C116" s="448" t="s">
        <v>272</v>
      </c>
      <c r="D116" s="451">
        <v>0.014</v>
      </c>
      <c r="E116" s="448" t="s">
        <v>198</v>
      </c>
      <c r="F116" s="451">
        <v>0.014</v>
      </c>
      <c r="G116" s="448"/>
      <c r="H116" s="448"/>
      <c r="I116" s="448"/>
      <c r="J116" s="448"/>
    </row>
    <row r="117" spans="1:10" ht="12.75">
      <c r="A117" s="449">
        <v>36566</v>
      </c>
      <c r="B117" s="448" t="s">
        <v>418</v>
      </c>
      <c r="C117" s="448" t="s">
        <v>272</v>
      </c>
      <c r="D117" s="451">
        <v>0.014</v>
      </c>
      <c r="E117" s="448" t="s">
        <v>198</v>
      </c>
      <c r="F117" s="451">
        <v>0.014</v>
      </c>
      <c r="G117" s="448"/>
      <c r="H117" s="448"/>
      <c r="I117" s="448"/>
      <c r="J117" s="448"/>
    </row>
    <row r="118" spans="1:10" ht="12.75">
      <c r="A118" s="449">
        <v>36685</v>
      </c>
      <c r="B118" s="448" t="s">
        <v>418</v>
      </c>
      <c r="C118" s="448" t="s">
        <v>272</v>
      </c>
      <c r="D118" s="451">
        <v>0.014</v>
      </c>
      <c r="E118" s="448" t="s">
        <v>198</v>
      </c>
      <c r="F118" s="451">
        <v>0.014</v>
      </c>
      <c r="G118" s="448"/>
      <c r="H118" s="448"/>
      <c r="I118" s="448"/>
      <c r="J118" s="448"/>
    </row>
    <row r="119" spans="1:10" ht="12.75">
      <c r="A119" s="449">
        <v>36875</v>
      </c>
      <c r="B119" s="448" t="s">
        <v>418</v>
      </c>
      <c r="C119" s="448" t="s">
        <v>272</v>
      </c>
      <c r="D119" s="450">
        <v>0.01</v>
      </c>
      <c r="E119" s="448" t="s">
        <v>198</v>
      </c>
      <c r="F119" s="450">
        <v>0.01</v>
      </c>
      <c r="G119" s="448"/>
      <c r="H119" s="448"/>
      <c r="I119" s="448"/>
      <c r="J119" s="448"/>
    </row>
    <row r="120" spans="1:10" ht="12.75">
      <c r="A120" s="449">
        <v>36959</v>
      </c>
      <c r="B120" s="448" t="s">
        <v>418</v>
      </c>
      <c r="C120" s="448" t="s">
        <v>272</v>
      </c>
      <c r="D120" s="450">
        <v>0.01</v>
      </c>
      <c r="E120" s="448" t="s">
        <v>198</v>
      </c>
      <c r="F120" s="450">
        <v>0.01</v>
      </c>
      <c r="G120" s="448"/>
      <c r="H120" s="448"/>
      <c r="I120" s="448"/>
      <c r="J120" s="448"/>
    </row>
    <row r="121" spans="1:10" ht="12.75">
      <c r="A121" s="449">
        <v>37027</v>
      </c>
      <c r="B121" s="448" t="s">
        <v>418</v>
      </c>
      <c r="C121" s="448" t="s">
        <v>272</v>
      </c>
      <c r="D121" s="450">
        <v>0.01</v>
      </c>
      <c r="E121" s="448" t="s">
        <v>198</v>
      </c>
      <c r="F121" s="450">
        <v>0.01</v>
      </c>
      <c r="G121" s="448"/>
      <c r="H121" s="448"/>
      <c r="I121" s="448"/>
      <c r="J121" s="448"/>
    </row>
    <row r="122" spans="1:10" ht="12.75">
      <c r="A122" s="449">
        <v>37119</v>
      </c>
      <c r="B122" s="448" t="s">
        <v>418</v>
      </c>
      <c r="C122" s="448" t="s">
        <v>272</v>
      </c>
      <c r="D122" s="450">
        <v>0.01</v>
      </c>
      <c r="E122" s="448" t="s">
        <v>198</v>
      </c>
      <c r="F122" s="450">
        <v>0.01</v>
      </c>
      <c r="G122" s="448"/>
      <c r="H122" s="448"/>
      <c r="I122" s="448"/>
      <c r="J122" s="448"/>
    </row>
    <row r="123" spans="1:10" ht="12.75">
      <c r="A123" s="449">
        <v>37243</v>
      </c>
      <c r="B123" s="448" t="s">
        <v>418</v>
      </c>
      <c r="C123" s="448" t="s">
        <v>272</v>
      </c>
      <c r="D123" s="450">
        <v>0.011</v>
      </c>
      <c r="E123" s="448" t="s">
        <v>198</v>
      </c>
      <c r="F123" s="450">
        <v>0.011</v>
      </c>
      <c r="G123" s="448"/>
      <c r="H123" s="448"/>
      <c r="I123" s="448"/>
      <c r="J123" s="448"/>
    </row>
    <row r="124" spans="1:10" ht="12.75">
      <c r="A124" s="449">
        <v>37332</v>
      </c>
      <c r="B124" s="448" t="s">
        <v>418</v>
      </c>
      <c r="C124" s="448" t="s">
        <v>272</v>
      </c>
      <c r="D124" s="450">
        <v>0.011</v>
      </c>
      <c r="E124" s="448" t="s">
        <v>198</v>
      </c>
      <c r="F124" s="450">
        <v>0.011</v>
      </c>
      <c r="G124" s="448"/>
      <c r="H124" s="448"/>
      <c r="I124" s="448"/>
      <c r="J124" s="448"/>
    </row>
    <row r="125" spans="1:10" ht="12.75">
      <c r="A125" s="449">
        <v>37416</v>
      </c>
      <c r="B125" s="448" t="s">
        <v>418</v>
      </c>
      <c r="C125" s="448" t="s">
        <v>272</v>
      </c>
      <c r="D125" s="450">
        <v>0.011</v>
      </c>
      <c r="E125" s="448" t="s">
        <v>198</v>
      </c>
      <c r="F125" s="450">
        <v>0.011</v>
      </c>
      <c r="G125" s="448"/>
      <c r="H125" s="448"/>
      <c r="I125" s="448"/>
      <c r="J125" s="448"/>
    </row>
    <row r="126" spans="1:10" ht="12.75">
      <c r="A126" s="449">
        <v>37521</v>
      </c>
      <c r="B126" s="448" t="s">
        <v>418</v>
      </c>
      <c r="C126" s="448" t="s">
        <v>272</v>
      </c>
      <c r="D126" s="450">
        <v>0.011</v>
      </c>
      <c r="E126" s="448" t="s">
        <v>198</v>
      </c>
      <c r="F126" s="450">
        <v>0.011</v>
      </c>
      <c r="G126" s="448"/>
      <c r="H126" s="448"/>
      <c r="I126" s="448"/>
      <c r="J126" s="448"/>
    </row>
    <row r="127" spans="1:10" ht="12.75">
      <c r="A127" s="449">
        <v>37591</v>
      </c>
      <c r="B127" s="448" t="s">
        <v>418</v>
      </c>
      <c r="C127" s="448" t="s">
        <v>272</v>
      </c>
      <c r="D127" s="448">
        <v>0.02</v>
      </c>
      <c r="E127" s="448" t="s">
        <v>198</v>
      </c>
      <c r="F127" s="450">
        <v>0.02</v>
      </c>
      <c r="G127" s="448"/>
      <c r="H127" s="448"/>
      <c r="I127" s="448"/>
      <c r="J127" s="448"/>
    </row>
    <row r="128" spans="1:10" ht="12.75">
      <c r="A128" s="449">
        <v>37671</v>
      </c>
      <c r="B128" s="448" t="s">
        <v>418</v>
      </c>
      <c r="C128" s="448" t="s">
        <v>272</v>
      </c>
      <c r="D128" s="448">
        <v>0.02</v>
      </c>
      <c r="E128" s="448" t="s">
        <v>198</v>
      </c>
      <c r="F128" s="450">
        <v>0.02</v>
      </c>
      <c r="G128" s="448"/>
      <c r="H128" s="448" t="s">
        <v>272</v>
      </c>
      <c r="I128" s="450">
        <v>0.011</v>
      </c>
      <c r="J128" s="448" t="s">
        <v>198</v>
      </c>
    </row>
    <row r="129" spans="1:10" ht="12.75">
      <c r="A129" s="449">
        <v>35806</v>
      </c>
      <c r="B129" s="448" t="s">
        <v>419</v>
      </c>
      <c r="C129" s="448" t="s">
        <v>272</v>
      </c>
      <c r="D129" s="451">
        <v>0.001</v>
      </c>
      <c r="E129" s="448" t="s">
        <v>198</v>
      </c>
      <c r="F129" s="451">
        <v>0.001</v>
      </c>
      <c r="G129" s="448"/>
      <c r="H129" s="448"/>
      <c r="I129" s="448"/>
      <c r="J129" s="448"/>
    </row>
    <row r="130" spans="1:10" ht="12.75">
      <c r="A130" s="449">
        <v>35899</v>
      </c>
      <c r="B130" s="448" t="s">
        <v>419</v>
      </c>
      <c r="C130" s="448" t="s">
        <v>272</v>
      </c>
      <c r="D130" s="451">
        <v>0.001</v>
      </c>
      <c r="E130" s="448" t="s">
        <v>198</v>
      </c>
      <c r="F130" s="451">
        <v>0.001</v>
      </c>
      <c r="G130" s="448"/>
      <c r="H130" s="448"/>
      <c r="I130" s="448"/>
      <c r="J130" s="448"/>
    </row>
    <row r="131" spans="1:10" ht="12.75">
      <c r="A131" s="449">
        <v>35929</v>
      </c>
      <c r="B131" s="448" t="s">
        <v>419</v>
      </c>
      <c r="C131" s="448" t="s">
        <v>272</v>
      </c>
      <c r="D131" s="451">
        <v>0.001</v>
      </c>
      <c r="E131" s="448" t="s">
        <v>198</v>
      </c>
      <c r="F131" s="451">
        <v>0.001</v>
      </c>
      <c r="G131" s="448"/>
      <c r="H131" s="448"/>
      <c r="I131" s="448"/>
      <c r="J131" s="448"/>
    </row>
    <row r="132" spans="1:10" ht="12.75">
      <c r="A132" s="449">
        <v>36081</v>
      </c>
      <c r="B132" s="448" t="s">
        <v>419</v>
      </c>
      <c r="C132" s="448" t="s">
        <v>272</v>
      </c>
      <c r="D132" s="451">
        <v>0.001</v>
      </c>
      <c r="E132" s="448" t="s">
        <v>198</v>
      </c>
      <c r="F132" s="451">
        <v>0.001</v>
      </c>
      <c r="G132" s="448"/>
      <c r="H132" s="448"/>
      <c r="I132" s="448"/>
      <c r="J132" s="448"/>
    </row>
    <row r="133" spans="1:10" ht="12.75">
      <c r="A133" s="449">
        <v>36171</v>
      </c>
      <c r="B133" s="448" t="s">
        <v>419</v>
      </c>
      <c r="C133" s="448" t="s">
        <v>272</v>
      </c>
      <c r="D133" s="450">
        <v>0.01</v>
      </c>
      <c r="E133" s="448" t="s">
        <v>198</v>
      </c>
      <c r="F133" s="450">
        <v>0.01</v>
      </c>
      <c r="G133" s="448"/>
      <c r="H133" s="448"/>
      <c r="I133" s="448"/>
      <c r="J133" s="448"/>
    </row>
    <row r="134" spans="1:10" ht="12.75">
      <c r="A134" s="449">
        <v>36264</v>
      </c>
      <c r="B134" s="448" t="s">
        <v>419</v>
      </c>
      <c r="C134" s="448" t="s">
        <v>272</v>
      </c>
      <c r="D134" s="450">
        <v>0.01</v>
      </c>
      <c r="E134" s="448" t="s">
        <v>198</v>
      </c>
      <c r="F134" s="450">
        <v>0.01</v>
      </c>
      <c r="G134" s="448"/>
      <c r="H134" s="448"/>
      <c r="I134" s="448"/>
      <c r="J134" s="448"/>
    </row>
    <row r="135" spans="1:10" ht="12.75">
      <c r="A135" s="449">
        <v>36355</v>
      </c>
      <c r="B135" s="448" t="s">
        <v>419</v>
      </c>
      <c r="C135" s="448" t="s">
        <v>272</v>
      </c>
      <c r="D135" s="450">
        <v>0.01</v>
      </c>
      <c r="E135" s="448" t="s">
        <v>198</v>
      </c>
      <c r="F135" s="450">
        <v>0.01</v>
      </c>
      <c r="G135" s="448"/>
      <c r="H135" s="448"/>
      <c r="I135" s="448"/>
      <c r="J135" s="448"/>
    </row>
    <row r="136" spans="1:10" ht="12.75">
      <c r="A136" s="449">
        <v>36510</v>
      </c>
      <c r="B136" s="448" t="s">
        <v>419</v>
      </c>
      <c r="C136" s="448" t="s">
        <v>272</v>
      </c>
      <c r="D136" s="451">
        <v>0.001</v>
      </c>
      <c r="E136" s="448" t="s">
        <v>198</v>
      </c>
      <c r="F136" s="451">
        <v>0.001</v>
      </c>
      <c r="G136" s="448"/>
      <c r="H136" s="448"/>
      <c r="I136" s="448"/>
      <c r="J136" s="448"/>
    </row>
    <row r="137" spans="1:10" ht="12.75">
      <c r="A137" s="449">
        <v>36566</v>
      </c>
      <c r="B137" s="448" t="s">
        <v>419</v>
      </c>
      <c r="C137" s="448" t="s">
        <v>272</v>
      </c>
      <c r="D137" s="451">
        <v>0.001</v>
      </c>
      <c r="E137" s="448" t="s">
        <v>198</v>
      </c>
      <c r="F137" s="451">
        <v>0.001</v>
      </c>
      <c r="G137" s="448"/>
      <c r="H137" s="448"/>
      <c r="I137" s="448"/>
      <c r="J137" s="448"/>
    </row>
    <row r="138" spans="1:10" ht="12.75">
      <c r="A138" s="449">
        <v>36685</v>
      </c>
      <c r="B138" s="448" t="s">
        <v>419</v>
      </c>
      <c r="C138" s="448" t="s">
        <v>272</v>
      </c>
      <c r="D138" s="451">
        <v>0.001</v>
      </c>
      <c r="E138" s="448" t="s">
        <v>198</v>
      </c>
      <c r="F138" s="451">
        <v>0.001</v>
      </c>
      <c r="G138" s="448"/>
      <c r="H138" s="448"/>
      <c r="I138" s="448"/>
      <c r="J138" s="448"/>
    </row>
    <row r="139" spans="1:10" ht="12.75">
      <c r="A139" s="449">
        <v>36875</v>
      </c>
      <c r="B139" s="448" t="s">
        <v>419</v>
      </c>
      <c r="C139" s="448" t="s">
        <v>272</v>
      </c>
      <c r="D139" s="450">
        <v>0.01</v>
      </c>
      <c r="E139" s="448" t="s">
        <v>198</v>
      </c>
      <c r="F139" s="450">
        <v>0.01</v>
      </c>
      <c r="G139" s="448"/>
      <c r="H139" s="448"/>
      <c r="I139" s="448"/>
      <c r="J139" s="448"/>
    </row>
    <row r="140" spans="1:10" ht="12.75">
      <c r="A140" s="449">
        <v>36959</v>
      </c>
      <c r="B140" s="448" t="s">
        <v>419</v>
      </c>
      <c r="C140" s="448" t="s">
        <v>272</v>
      </c>
      <c r="D140" s="450">
        <v>0.01</v>
      </c>
      <c r="E140" s="448" t="s">
        <v>198</v>
      </c>
      <c r="F140" s="450">
        <v>0.01</v>
      </c>
      <c r="G140" s="448"/>
      <c r="H140" s="448"/>
      <c r="I140" s="448"/>
      <c r="J140" s="448"/>
    </row>
    <row r="141" spans="1:10" ht="12.75">
      <c r="A141" s="449">
        <v>37027</v>
      </c>
      <c r="B141" s="448" t="s">
        <v>419</v>
      </c>
      <c r="C141" s="448" t="s">
        <v>272</v>
      </c>
      <c r="D141" s="450">
        <v>0.01</v>
      </c>
      <c r="E141" s="448" t="s">
        <v>198</v>
      </c>
      <c r="F141" s="450">
        <v>0.01</v>
      </c>
      <c r="G141" s="448"/>
      <c r="H141" s="448"/>
      <c r="I141" s="448"/>
      <c r="J141" s="448"/>
    </row>
    <row r="142" spans="1:10" ht="12.75">
      <c r="A142" s="449">
        <v>37119</v>
      </c>
      <c r="B142" s="448" t="s">
        <v>419</v>
      </c>
      <c r="C142" s="448" t="s">
        <v>272</v>
      </c>
      <c r="D142" s="450">
        <v>0.01</v>
      </c>
      <c r="E142" s="448" t="s">
        <v>198</v>
      </c>
      <c r="F142" s="450">
        <v>0.01</v>
      </c>
      <c r="G142" s="448"/>
      <c r="H142" s="448"/>
      <c r="I142" s="448"/>
      <c r="J142" s="448"/>
    </row>
    <row r="143" spans="1:10" ht="12.75">
      <c r="A143" s="449">
        <v>37243</v>
      </c>
      <c r="B143" s="448" t="s">
        <v>419</v>
      </c>
      <c r="C143" s="448" t="s">
        <v>272</v>
      </c>
      <c r="D143" s="450">
        <v>0.0112</v>
      </c>
      <c r="E143" s="448" t="s">
        <v>198</v>
      </c>
      <c r="F143" s="450">
        <v>0.0112</v>
      </c>
      <c r="G143" s="448"/>
      <c r="H143" s="448"/>
      <c r="I143" s="448"/>
      <c r="J143" s="448"/>
    </row>
    <row r="144" spans="1:10" ht="12.75">
      <c r="A144" s="449">
        <v>37332</v>
      </c>
      <c r="B144" s="448" t="s">
        <v>419</v>
      </c>
      <c r="C144" s="448" t="s">
        <v>272</v>
      </c>
      <c r="D144" s="450">
        <v>0.0112</v>
      </c>
      <c r="E144" s="448" t="s">
        <v>198</v>
      </c>
      <c r="F144" s="450">
        <v>0.0112</v>
      </c>
      <c r="G144" s="448"/>
      <c r="H144" s="448"/>
      <c r="I144" s="448"/>
      <c r="J144" s="448"/>
    </row>
    <row r="145" spans="1:10" ht="12.75">
      <c r="A145" s="449">
        <v>37416</v>
      </c>
      <c r="B145" s="448" t="s">
        <v>419</v>
      </c>
      <c r="C145" s="448" t="s">
        <v>272</v>
      </c>
      <c r="D145" s="450">
        <v>0.0112</v>
      </c>
      <c r="E145" s="448" t="s">
        <v>198</v>
      </c>
      <c r="F145" s="450">
        <v>0.0112</v>
      </c>
      <c r="G145" s="448"/>
      <c r="H145" s="448"/>
      <c r="I145" s="448"/>
      <c r="J145" s="448"/>
    </row>
    <row r="146" spans="1:10" ht="12" customHeight="1">
      <c r="A146" s="449">
        <v>37521</v>
      </c>
      <c r="B146" s="448" t="s">
        <v>419</v>
      </c>
      <c r="C146" s="448" t="s">
        <v>272</v>
      </c>
      <c r="D146" s="450">
        <v>0.0112</v>
      </c>
      <c r="E146" s="448" t="s">
        <v>198</v>
      </c>
      <c r="F146" s="450">
        <v>0.0112</v>
      </c>
      <c r="G146" s="448"/>
      <c r="H146" s="448"/>
      <c r="I146" s="448"/>
      <c r="J146" s="448"/>
    </row>
    <row r="147" spans="1:10" ht="12.75">
      <c r="A147" s="449">
        <v>37591</v>
      </c>
      <c r="B147" s="448" t="s">
        <v>419</v>
      </c>
      <c r="C147" s="448" t="s">
        <v>272</v>
      </c>
      <c r="D147" s="448">
        <v>0.03</v>
      </c>
      <c r="E147" s="448" t="s">
        <v>198</v>
      </c>
      <c r="F147" s="450">
        <v>0.03</v>
      </c>
      <c r="G147" s="448"/>
      <c r="H147" s="448"/>
      <c r="I147" s="448"/>
      <c r="J147" s="448"/>
    </row>
    <row r="148" spans="1:10" ht="12.75">
      <c r="A148" s="449">
        <v>37671</v>
      </c>
      <c r="B148" s="448" t="s">
        <v>419</v>
      </c>
      <c r="C148" s="448" t="s">
        <v>272</v>
      </c>
      <c r="D148" s="448">
        <v>0.03</v>
      </c>
      <c r="E148" s="448" t="s">
        <v>198</v>
      </c>
      <c r="F148" s="450">
        <v>0.03</v>
      </c>
      <c r="G148" s="448"/>
      <c r="H148" s="448" t="s">
        <v>272</v>
      </c>
      <c r="I148" s="451">
        <v>0.001</v>
      </c>
      <c r="J148" s="448" t="s">
        <v>198</v>
      </c>
    </row>
    <row r="149" spans="1:10" ht="12.75">
      <c r="A149" s="449">
        <v>35806</v>
      </c>
      <c r="B149" s="448" t="s">
        <v>420</v>
      </c>
      <c r="C149" s="448" t="s">
        <v>272</v>
      </c>
      <c r="D149" s="451">
        <v>0.002</v>
      </c>
      <c r="E149" s="448" t="s">
        <v>198</v>
      </c>
      <c r="F149" s="451">
        <v>0.002</v>
      </c>
      <c r="G149" s="448"/>
      <c r="H149" s="448"/>
      <c r="I149" s="448"/>
      <c r="J149" s="448"/>
    </row>
    <row r="150" spans="1:10" ht="12.75">
      <c r="A150" s="449">
        <v>35899</v>
      </c>
      <c r="B150" s="448" t="s">
        <v>420</v>
      </c>
      <c r="C150" s="448" t="s">
        <v>272</v>
      </c>
      <c r="D150" s="451">
        <v>0.002</v>
      </c>
      <c r="E150" s="448" t="s">
        <v>198</v>
      </c>
      <c r="F150" s="451">
        <v>0.002</v>
      </c>
      <c r="G150" s="448"/>
      <c r="H150" s="448"/>
      <c r="I150" s="448"/>
      <c r="J150" s="448"/>
    </row>
    <row r="151" spans="1:10" ht="12.75">
      <c r="A151" s="449">
        <v>35929</v>
      </c>
      <c r="B151" s="448" t="s">
        <v>420</v>
      </c>
      <c r="C151" s="448" t="s">
        <v>272</v>
      </c>
      <c r="D151" s="451">
        <v>0.002</v>
      </c>
      <c r="E151" s="448" t="s">
        <v>198</v>
      </c>
      <c r="F151" s="451">
        <v>0.002</v>
      </c>
      <c r="G151" s="448"/>
      <c r="H151" s="448"/>
      <c r="I151" s="448"/>
      <c r="J151" s="448"/>
    </row>
    <row r="152" spans="1:10" ht="12.75">
      <c r="A152" s="449">
        <v>36081</v>
      </c>
      <c r="B152" s="448" t="s">
        <v>420</v>
      </c>
      <c r="C152" s="448" t="s">
        <v>272</v>
      </c>
      <c r="D152" s="451">
        <v>0.002</v>
      </c>
      <c r="E152" s="448" t="s">
        <v>198</v>
      </c>
      <c r="F152" s="451">
        <v>0.002</v>
      </c>
      <c r="G152" s="448"/>
      <c r="H152" s="448"/>
      <c r="I152" s="448"/>
      <c r="J152" s="448"/>
    </row>
    <row r="153" spans="1:10" ht="12.75">
      <c r="A153" s="449">
        <v>36171</v>
      </c>
      <c r="B153" s="448" t="s">
        <v>420</v>
      </c>
      <c r="C153" s="448" t="s">
        <v>272</v>
      </c>
      <c r="D153" s="450">
        <v>0.02</v>
      </c>
      <c r="E153" s="448" t="s">
        <v>198</v>
      </c>
      <c r="F153" s="450">
        <v>0.02</v>
      </c>
      <c r="G153" s="448"/>
      <c r="H153" s="448"/>
      <c r="I153" s="448"/>
      <c r="J153" s="448"/>
    </row>
    <row r="154" spans="1:10" ht="12.75">
      <c r="A154" s="449">
        <v>36264</v>
      </c>
      <c r="B154" s="448" t="s">
        <v>420</v>
      </c>
      <c r="C154" s="448" t="s">
        <v>272</v>
      </c>
      <c r="D154" s="450">
        <v>0.02</v>
      </c>
      <c r="E154" s="448" t="s">
        <v>198</v>
      </c>
      <c r="F154" s="450">
        <v>0.02</v>
      </c>
      <c r="G154" s="448"/>
      <c r="H154" s="448"/>
      <c r="I154" s="448"/>
      <c r="J154" s="448"/>
    </row>
    <row r="155" spans="1:10" ht="12.75">
      <c r="A155" s="449">
        <v>36355</v>
      </c>
      <c r="B155" s="448" t="s">
        <v>420</v>
      </c>
      <c r="C155" s="448" t="s">
        <v>272</v>
      </c>
      <c r="D155" s="450">
        <v>0.02</v>
      </c>
      <c r="E155" s="448" t="s">
        <v>198</v>
      </c>
      <c r="F155" s="450">
        <v>0.02</v>
      </c>
      <c r="G155" s="448"/>
      <c r="H155" s="448"/>
      <c r="I155" s="448"/>
      <c r="J155" s="448"/>
    </row>
    <row r="156" spans="1:10" ht="12.75">
      <c r="A156" s="449">
        <v>36510</v>
      </c>
      <c r="B156" s="448" t="s">
        <v>420</v>
      </c>
      <c r="C156" s="448" t="s">
        <v>272</v>
      </c>
      <c r="D156" s="451">
        <v>0.002</v>
      </c>
      <c r="E156" s="448" t="s">
        <v>198</v>
      </c>
      <c r="F156" s="451">
        <v>0.02</v>
      </c>
      <c r="G156" s="448"/>
      <c r="H156" s="448"/>
      <c r="I156" s="448"/>
      <c r="J156" s="448"/>
    </row>
    <row r="157" spans="1:10" ht="12.75">
      <c r="A157" s="449">
        <v>36566</v>
      </c>
      <c r="B157" s="448" t="s">
        <v>420</v>
      </c>
      <c r="C157" s="448" t="s">
        <v>272</v>
      </c>
      <c r="D157" s="451">
        <v>0.002</v>
      </c>
      <c r="E157" s="448" t="s">
        <v>198</v>
      </c>
      <c r="F157" s="451">
        <v>0.02</v>
      </c>
      <c r="G157" s="448"/>
      <c r="H157" s="448"/>
      <c r="I157" s="448"/>
      <c r="J157" s="448"/>
    </row>
    <row r="158" spans="1:10" ht="12.75">
      <c r="A158" s="449">
        <v>36685</v>
      </c>
      <c r="B158" s="448" t="s">
        <v>420</v>
      </c>
      <c r="C158" s="448" t="s">
        <v>272</v>
      </c>
      <c r="D158" s="451">
        <v>0.002</v>
      </c>
      <c r="E158" s="448" t="s">
        <v>198</v>
      </c>
      <c r="F158" s="451">
        <v>0.02</v>
      </c>
      <c r="G158" s="448"/>
      <c r="H158" s="448"/>
      <c r="I158" s="448"/>
      <c r="J158" s="448"/>
    </row>
    <row r="159" spans="1:10" ht="12.75">
      <c r="A159" s="449">
        <v>36875</v>
      </c>
      <c r="B159" s="448" t="s">
        <v>420</v>
      </c>
      <c r="C159" s="448" t="s">
        <v>272</v>
      </c>
      <c r="D159" s="450">
        <v>0.02</v>
      </c>
      <c r="E159" s="448" t="s">
        <v>198</v>
      </c>
      <c r="F159" s="450">
        <v>0.02</v>
      </c>
      <c r="G159" s="448"/>
      <c r="H159" s="448"/>
      <c r="I159" s="448"/>
      <c r="J159" s="448"/>
    </row>
    <row r="160" spans="1:10" ht="12.75">
      <c r="A160" s="449">
        <v>36959</v>
      </c>
      <c r="B160" s="448" t="s">
        <v>420</v>
      </c>
      <c r="C160" s="448" t="s">
        <v>272</v>
      </c>
      <c r="D160" s="450">
        <v>0.02</v>
      </c>
      <c r="E160" s="448" t="s">
        <v>198</v>
      </c>
      <c r="F160" s="450">
        <v>0.02</v>
      </c>
      <c r="G160" s="448"/>
      <c r="H160" s="448"/>
      <c r="I160" s="448"/>
      <c r="J160" s="448"/>
    </row>
    <row r="161" spans="1:10" ht="12.75">
      <c r="A161" s="449">
        <v>37027</v>
      </c>
      <c r="B161" s="448" t="s">
        <v>420</v>
      </c>
      <c r="C161" s="448" t="s">
        <v>272</v>
      </c>
      <c r="D161" s="450">
        <v>0.02</v>
      </c>
      <c r="E161" s="448" t="s">
        <v>198</v>
      </c>
      <c r="F161" s="450">
        <v>0.02</v>
      </c>
      <c r="G161" s="448"/>
      <c r="H161" s="448"/>
      <c r="I161" s="448"/>
      <c r="J161" s="448"/>
    </row>
    <row r="162" spans="1:10" ht="12.75">
      <c r="A162" s="449">
        <v>37119</v>
      </c>
      <c r="B162" s="448" t="s">
        <v>420</v>
      </c>
      <c r="C162" s="448" t="s">
        <v>272</v>
      </c>
      <c r="D162" s="450">
        <v>0.02</v>
      </c>
      <c r="E162" s="448" t="s">
        <v>198</v>
      </c>
      <c r="F162" s="450">
        <v>0.02</v>
      </c>
      <c r="G162" s="448"/>
      <c r="H162" s="448"/>
      <c r="I162" s="448"/>
      <c r="J162" s="448"/>
    </row>
    <row r="163" spans="1:10" ht="12.75">
      <c r="A163" s="449">
        <v>37243</v>
      </c>
      <c r="B163" s="448" t="s">
        <v>420</v>
      </c>
      <c r="C163" s="448" t="s">
        <v>272</v>
      </c>
      <c r="D163" s="450">
        <v>0.0189</v>
      </c>
      <c r="E163" s="448" t="s">
        <v>198</v>
      </c>
      <c r="F163" s="450">
        <v>0.0189</v>
      </c>
      <c r="G163" s="448"/>
      <c r="H163" s="448"/>
      <c r="I163" s="448"/>
      <c r="J163" s="448"/>
    </row>
    <row r="164" spans="1:10" ht="12.75">
      <c r="A164" s="449">
        <v>37332</v>
      </c>
      <c r="B164" s="448" t="s">
        <v>420</v>
      </c>
      <c r="C164" s="448" t="s">
        <v>272</v>
      </c>
      <c r="D164" s="450">
        <v>0.0189</v>
      </c>
      <c r="E164" s="448" t="s">
        <v>198</v>
      </c>
      <c r="F164" s="450">
        <v>0.0189</v>
      </c>
      <c r="G164" s="448"/>
      <c r="H164" s="448"/>
      <c r="I164" s="448"/>
      <c r="J164" s="448"/>
    </row>
    <row r="165" spans="1:10" ht="12.75">
      <c r="A165" s="449">
        <v>37416</v>
      </c>
      <c r="B165" s="448" t="s">
        <v>420</v>
      </c>
      <c r="C165" s="448" t="s">
        <v>272</v>
      </c>
      <c r="D165" s="450">
        <v>0.0189</v>
      </c>
      <c r="E165" s="448" t="s">
        <v>198</v>
      </c>
      <c r="F165" s="450">
        <v>0.0189</v>
      </c>
      <c r="G165" s="448"/>
      <c r="H165" s="448"/>
      <c r="I165" s="448"/>
      <c r="J165" s="448"/>
    </row>
    <row r="166" spans="1:10" ht="12.75">
      <c r="A166" s="449">
        <v>37521</v>
      </c>
      <c r="B166" s="448" t="s">
        <v>420</v>
      </c>
      <c r="C166" s="448" t="s">
        <v>272</v>
      </c>
      <c r="D166" s="450">
        <v>0.0189</v>
      </c>
      <c r="E166" s="448" t="s">
        <v>198</v>
      </c>
      <c r="F166" s="450">
        <v>0.0189</v>
      </c>
      <c r="G166" s="448"/>
      <c r="H166" s="448"/>
      <c r="I166" s="448"/>
      <c r="J166" s="448"/>
    </row>
    <row r="167" spans="1:10" ht="12.75">
      <c r="A167" s="449">
        <v>37591</v>
      </c>
      <c r="B167" s="448" t="s">
        <v>420</v>
      </c>
      <c r="C167" s="448" t="s">
        <v>272</v>
      </c>
      <c r="D167" s="448">
        <v>0.03</v>
      </c>
      <c r="E167" s="448" t="s">
        <v>198</v>
      </c>
      <c r="F167" s="450">
        <v>0.03</v>
      </c>
      <c r="G167" s="448"/>
      <c r="H167" s="448"/>
      <c r="I167" s="448"/>
      <c r="J167" s="448"/>
    </row>
    <row r="168" spans="1:10" ht="12.75">
      <c r="A168" s="449">
        <v>37671</v>
      </c>
      <c r="B168" s="448" t="s">
        <v>420</v>
      </c>
      <c r="C168" s="448" t="s">
        <v>272</v>
      </c>
      <c r="D168" s="448">
        <v>0.03</v>
      </c>
      <c r="E168" s="448" t="s">
        <v>198</v>
      </c>
      <c r="F168" s="450">
        <v>0.03</v>
      </c>
      <c r="G168" s="448"/>
      <c r="H168" s="448" t="s">
        <v>272</v>
      </c>
      <c r="I168" s="451">
        <v>0.002</v>
      </c>
      <c r="J168" s="448" t="s">
        <v>198</v>
      </c>
    </row>
    <row r="169" spans="1:10" ht="12.75">
      <c r="A169" s="449">
        <v>35806</v>
      </c>
      <c r="B169" s="448" t="s">
        <v>421</v>
      </c>
      <c r="C169" s="448" t="s">
        <v>272</v>
      </c>
      <c r="D169" s="451">
        <v>0.007</v>
      </c>
      <c r="E169" s="448" t="s">
        <v>198</v>
      </c>
      <c r="F169" s="451">
        <v>0.007</v>
      </c>
      <c r="G169" s="448"/>
      <c r="H169" s="448"/>
      <c r="I169" s="448"/>
      <c r="J169" s="448"/>
    </row>
    <row r="170" spans="1:10" ht="12.75">
      <c r="A170" s="449">
        <v>35899</v>
      </c>
      <c r="B170" s="448" t="s">
        <v>421</v>
      </c>
      <c r="C170" s="448" t="s">
        <v>272</v>
      </c>
      <c r="D170" s="451">
        <v>0.007</v>
      </c>
      <c r="E170" s="448" t="s">
        <v>198</v>
      </c>
      <c r="F170" s="451">
        <v>0.007</v>
      </c>
      <c r="G170" s="448"/>
      <c r="H170" s="448"/>
      <c r="I170" s="448"/>
      <c r="J170" s="448"/>
    </row>
    <row r="171" spans="1:10" ht="12.75">
      <c r="A171" s="449">
        <v>35929</v>
      </c>
      <c r="B171" s="448" t="s">
        <v>421</v>
      </c>
      <c r="C171" s="448" t="s">
        <v>272</v>
      </c>
      <c r="D171" s="451">
        <v>0.007</v>
      </c>
      <c r="E171" s="448" t="s">
        <v>198</v>
      </c>
      <c r="F171" s="451">
        <v>0.007</v>
      </c>
      <c r="G171" s="448"/>
      <c r="H171" s="448"/>
      <c r="I171" s="448"/>
      <c r="J171" s="448"/>
    </row>
    <row r="172" spans="1:10" ht="12.75">
      <c r="A172" s="449">
        <v>36081</v>
      </c>
      <c r="B172" s="448" t="s">
        <v>421</v>
      </c>
      <c r="C172" s="448" t="s">
        <v>272</v>
      </c>
      <c r="D172" s="451">
        <v>0.007</v>
      </c>
      <c r="E172" s="448" t="s">
        <v>198</v>
      </c>
      <c r="F172" s="451">
        <v>0.007</v>
      </c>
      <c r="G172" s="448"/>
      <c r="H172" s="448"/>
      <c r="I172" s="448"/>
      <c r="J172" s="448"/>
    </row>
    <row r="173" spans="1:10" ht="12.75">
      <c r="A173" s="449">
        <v>36171</v>
      </c>
      <c r="B173" s="448" t="s">
        <v>421</v>
      </c>
      <c r="C173" s="448" t="s">
        <v>272</v>
      </c>
      <c r="D173" s="450">
        <v>0.01</v>
      </c>
      <c r="E173" s="448" t="s">
        <v>198</v>
      </c>
      <c r="F173" s="450">
        <v>0.01</v>
      </c>
      <c r="G173" s="448"/>
      <c r="H173" s="448"/>
      <c r="I173" s="448"/>
      <c r="J173" s="448"/>
    </row>
    <row r="174" spans="1:10" ht="12.75">
      <c r="A174" s="449">
        <v>36264</v>
      </c>
      <c r="B174" s="448" t="s">
        <v>421</v>
      </c>
      <c r="C174" s="448" t="s">
        <v>272</v>
      </c>
      <c r="D174" s="450">
        <v>0.01</v>
      </c>
      <c r="E174" s="448" t="s">
        <v>198</v>
      </c>
      <c r="F174" s="450">
        <v>0.01</v>
      </c>
      <c r="G174" s="448"/>
      <c r="H174" s="448"/>
      <c r="I174" s="448"/>
      <c r="J174" s="448"/>
    </row>
    <row r="175" spans="1:10" ht="12.75">
      <c r="A175" s="449">
        <v>36355</v>
      </c>
      <c r="B175" s="448" t="s">
        <v>421</v>
      </c>
      <c r="C175" s="448" t="s">
        <v>272</v>
      </c>
      <c r="D175" s="450">
        <v>0.01</v>
      </c>
      <c r="E175" s="448" t="s">
        <v>198</v>
      </c>
      <c r="F175" s="450">
        <v>0.01</v>
      </c>
      <c r="G175" s="448"/>
      <c r="H175" s="448"/>
      <c r="I175" s="448"/>
      <c r="J175" s="448"/>
    </row>
    <row r="176" spans="1:10" ht="12.75">
      <c r="A176" s="449">
        <v>36510</v>
      </c>
      <c r="B176" s="448" t="s">
        <v>421</v>
      </c>
      <c r="C176" s="448" t="s">
        <v>272</v>
      </c>
      <c r="D176" s="451">
        <v>0.007</v>
      </c>
      <c r="E176" s="448" t="s">
        <v>198</v>
      </c>
      <c r="F176" s="451">
        <v>0.007</v>
      </c>
      <c r="G176" s="448"/>
      <c r="H176" s="448"/>
      <c r="I176" s="448"/>
      <c r="J176" s="448"/>
    </row>
    <row r="177" spans="1:10" ht="12.75">
      <c r="A177" s="449">
        <v>36566</v>
      </c>
      <c r="B177" s="448" t="s">
        <v>421</v>
      </c>
      <c r="C177" s="448" t="s">
        <v>272</v>
      </c>
      <c r="D177" s="451">
        <v>0.007</v>
      </c>
      <c r="E177" s="448" t="s">
        <v>198</v>
      </c>
      <c r="F177" s="451">
        <v>0.007</v>
      </c>
      <c r="G177" s="448"/>
      <c r="H177" s="448"/>
      <c r="I177" s="448"/>
      <c r="J177" s="448"/>
    </row>
    <row r="178" spans="1:10" ht="12.75">
      <c r="A178" s="449">
        <v>36685</v>
      </c>
      <c r="B178" s="448" t="s">
        <v>421</v>
      </c>
      <c r="C178" s="448" t="s">
        <v>272</v>
      </c>
      <c r="D178" s="451">
        <v>0.007</v>
      </c>
      <c r="E178" s="448" t="s">
        <v>198</v>
      </c>
      <c r="F178" s="451">
        <v>0.007</v>
      </c>
      <c r="G178" s="448"/>
      <c r="H178" s="448"/>
      <c r="I178" s="448"/>
      <c r="J178" s="448"/>
    </row>
    <row r="179" spans="1:10" ht="12.75">
      <c r="A179" s="449">
        <v>36875</v>
      </c>
      <c r="B179" s="448" t="s">
        <v>421</v>
      </c>
      <c r="C179" s="448" t="s">
        <v>272</v>
      </c>
      <c r="D179" s="450">
        <v>0.01</v>
      </c>
      <c r="E179" s="448" t="s">
        <v>198</v>
      </c>
      <c r="F179" s="450">
        <v>0.01</v>
      </c>
      <c r="G179" s="448"/>
      <c r="H179" s="448"/>
      <c r="I179" s="448"/>
      <c r="J179" s="448"/>
    </row>
    <row r="180" spans="1:10" ht="12.75">
      <c r="A180" s="449">
        <v>36959</v>
      </c>
      <c r="B180" s="448" t="s">
        <v>421</v>
      </c>
      <c r="C180" s="448" t="s">
        <v>272</v>
      </c>
      <c r="D180" s="450">
        <v>0.01</v>
      </c>
      <c r="E180" s="448" t="s">
        <v>198</v>
      </c>
      <c r="F180" s="450">
        <v>0.01</v>
      </c>
      <c r="G180" s="448"/>
      <c r="H180" s="448"/>
      <c r="I180" s="448"/>
      <c r="J180" s="448"/>
    </row>
    <row r="181" spans="1:10" ht="12.75">
      <c r="A181" s="449">
        <v>37027</v>
      </c>
      <c r="B181" s="448" t="s">
        <v>421</v>
      </c>
      <c r="C181" s="448" t="s">
        <v>272</v>
      </c>
      <c r="D181" s="450">
        <v>0.01</v>
      </c>
      <c r="E181" s="448" t="s">
        <v>198</v>
      </c>
      <c r="F181" s="450">
        <v>0.01</v>
      </c>
      <c r="G181" s="448"/>
      <c r="H181" s="448"/>
      <c r="I181" s="448"/>
      <c r="J181" s="448"/>
    </row>
    <row r="182" spans="1:10" ht="12.75">
      <c r="A182" s="449">
        <v>37119</v>
      </c>
      <c r="B182" s="448" t="s">
        <v>421</v>
      </c>
      <c r="C182" s="448" t="s">
        <v>272</v>
      </c>
      <c r="D182" s="450">
        <v>0.01</v>
      </c>
      <c r="E182" s="448" t="s">
        <v>198</v>
      </c>
      <c r="F182" s="450">
        <v>0.01</v>
      </c>
      <c r="G182" s="448"/>
      <c r="H182" s="448"/>
      <c r="I182" s="448"/>
      <c r="J182" s="448"/>
    </row>
    <row r="183" spans="1:10" ht="12.75">
      <c r="A183" s="449">
        <v>37243</v>
      </c>
      <c r="B183" s="448" t="s">
        <v>421</v>
      </c>
      <c r="C183" s="448" t="s">
        <v>272</v>
      </c>
      <c r="D183" s="450">
        <v>0.012</v>
      </c>
      <c r="E183" s="448" t="s">
        <v>198</v>
      </c>
      <c r="F183" s="450">
        <v>0.012</v>
      </c>
      <c r="G183" s="448"/>
      <c r="H183" s="448"/>
      <c r="I183" s="448"/>
      <c r="J183" s="448"/>
    </row>
    <row r="184" spans="1:10" ht="12.75">
      <c r="A184" s="449">
        <v>37332</v>
      </c>
      <c r="B184" s="448" t="s">
        <v>421</v>
      </c>
      <c r="C184" s="448" t="s">
        <v>272</v>
      </c>
      <c r="D184" s="450">
        <v>0.012</v>
      </c>
      <c r="E184" s="448" t="s">
        <v>198</v>
      </c>
      <c r="F184" s="450">
        <v>0.012</v>
      </c>
      <c r="G184" s="448"/>
      <c r="H184" s="448"/>
      <c r="I184" s="448"/>
      <c r="J184" s="448"/>
    </row>
    <row r="185" spans="1:10" ht="12.75">
      <c r="A185" s="449">
        <v>37416</v>
      </c>
      <c r="B185" s="448" t="s">
        <v>421</v>
      </c>
      <c r="C185" s="448" t="s">
        <v>272</v>
      </c>
      <c r="D185" s="450">
        <v>0.012</v>
      </c>
      <c r="E185" s="448" t="s">
        <v>198</v>
      </c>
      <c r="F185" s="450">
        <v>0.012</v>
      </c>
      <c r="G185" s="448"/>
      <c r="H185" s="448"/>
      <c r="I185" s="448"/>
      <c r="J185" s="448"/>
    </row>
    <row r="186" spans="1:10" ht="12.75">
      <c r="A186" s="449">
        <v>37521</v>
      </c>
      <c r="B186" s="448" t="s">
        <v>421</v>
      </c>
      <c r="C186" s="448" t="s">
        <v>272</v>
      </c>
      <c r="D186" s="450">
        <v>0.012</v>
      </c>
      <c r="E186" s="448" t="s">
        <v>198</v>
      </c>
      <c r="F186" s="450">
        <v>0.012</v>
      </c>
      <c r="G186" s="448"/>
      <c r="H186" s="448"/>
      <c r="I186" s="448"/>
      <c r="J186" s="448"/>
    </row>
    <row r="187" spans="1:10" ht="12.75">
      <c r="A187" s="449">
        <v>37591</v>
      </c>
      <c r="B187" s="448" t="s">
        <v>421</v>
      </c>
      <c r="C187" s="448" t="s">
        <v>272</v>
      </c>
      <c r="D187" s="448">
        <v>0.02</v>
      </c>
      <c r="E187" s="448" t="s">
        <v>198</v>
      </c>
      <c r="F187" s="450">
        <v>0.02</v>
      </c>
      <c r="G187" s="448"/>
      <c r="H187" s="448"/>
      <c r="I187" s="448"/>
      <c r="J187" s="448"/>
    </row>
    <row r="188" spans="1:10" ht="12.75">
      <c r="A188" s="449">
        <v>37671</v>
      </c>
      <c r="B188" s="448" t="s">
        <v>421</v>
      </c>
      <c r="C188" s="448" t="s">
        <v>272</v>
      </c>
      <c r="D188" s="448">
        <v>0.02</v>
      </c>
      <c r="E188" s="448" t="s">
        <v>198</v>
      </c>
      <c r="F188" s="450">
        <v>0.02</v>
      </c>
      <c r="G188" s="448"/>
      <c r="H188" s="448" t="s">
        <v>272</v>
      </c>
      <c r="I188" s="451">
        <v>0.007</v>
      </c>
      <c r="J188" s="448" t="s">
        <v>198</v>
      </c>
    </row>
    <row r="189" spans="1:10" ht="12.75">
      <c r="A189" s="449">
        <v>37119</v>
      </c>
      <c r="B189" s="448" t="s">
        <v>422</v>
      </c>
      <c r="C189" s="448" t="s">
        <v>272</v>
      </c>
      <c r="D189" s="450">
        <v>0.04</v>
      </c>
      <c r="E189" s="448" t="s">
        <v>198</v>
      </c>
      <c r="F189" s="450">
        <v>0.04</v>
      </c>
      <c r="G189" s="448"/>
      <c r="H189" s="448"/>
      <c r="I189" s="448"/>
      <c r="J189" s="448"/>
    </row>
    <row r="190" spans="1:10" ht="12.75">
      <c r="A190" s="449">
        <v>37243</v>
      </c>
      <c r="B190" s="448" t="s">
        <v>422</v>
      </c>
      <c r="C190" s="448" t="s">
        <v>272</v>
      </c>
      <c r="D190" s="450">
        <v>0.0424</v>
      </c>
      <c r="E190" s="448" t="s">
        <v>198</v>
      </c>
      <c r="F190" s="450">
        <v>0.0424</v>
      </c>
      <c r="G190" s="448"/>
      <c r="H190" s="448"/>
      <c r="I190" s="448"/>
      <c r="J190" s="448"/>
    </row>
    <row r="191" spans="1:10" ht="12.75">
      <c r="A191" s="449">
        <v>37332</v>
      </c>
      <c r="B191" s="448" t="s">
        <v>422</v>
      </c>
      <c r="C191" s="448" t="s">
        <v>272</v>
      </c>
      <c r="D191" s="450">
        <v>0.0424</v>
      </c>
      <c r="E191" s="448" t="s">
        <v>198</v>
      </c>
      <c r="F191" s="450">
        <v>0.0424</v>
      </c>
      <c r="G191" s="448"/>
      <c r="H191" s="448"/>
      <c r="I191" s="448"/>
      <c r="J191" s="448"/>
    </row>
    <row r="192" spans="1:10" ht="12.75">
      <c r="A192" s="449">
        <v>37416</v>
      </c>
      <c r="B192" s="448" t="s">
        <v>422</v>
      </c>
      <c r="C192" s="448" t="s">
        <v>272</v>
      </c>
      <c r="D192" s="450">
        <v>0.0424</v>
      </c>
      <c r="E192" s="448" t="s">
        <v>198</v>
      </c>
      <c r="F192" s="450">
        <v>0.0424</v>
      </c>
      <c r="G192" s="448"/>
      <c r="H192" s="448"/>
      <c r="I192" s="448"/>
      <c r="J192" s="448"/>
    </row>
    <row r="193" spans="1:10" ht="12.75">
      <c r="A193" s="449">
        <v>37521</v>
      </c>
      <c r="B193" s="448" t="s">
        <v>422</v>
      </c>
      <c r="C193" s="448" t="s">
        <v>272</v>
      </c>
      <c r="D193" s="450">
        <v>0.0424</v>
      </c>
      <c r="E193" s="448" t="s">
        <v>198</v>
      </c>
      <c r="F193" s="450">
        <v>0.0424</v>
      </c>
      <c r="G193" s="448"/>
      <c r="H193" s="448"/>
      <c r="I193" s="448"/>
      <c r="J193" s="448"/>
    </row>
    <row r="194" spans="1:10" ht="12.75">
      <c r="A194" s="449">
        <v>37591</v>
      </c>
      <c r="B194" s="448" t="s">
        <v>422</v>
      </c>
      <c r="C194" s="448" t="s">
        <v>272</v>
      </c>
      <c r="D194" s="448">
        <v>0.06</v>
      </c>
      <c r="E194" s="448" t="s">
        <v>198</v>
      </c>
      <c r="F194" s="450">
        <v>0.06</v>
      </c>
      <c r="G194" s="448"/>
      <c r="H194" s="448"/>
      <c r="I194" s="448"/>
      <c r="J194" s="448"/>
    </row>
    <row r="195" spans="1:10" ht="12.75">
      <c r="A195" s="449">
        <v>37671</v>
      </c>
      <c r="B195" s="448" t="s">
        <v>422</v>
      </c>
      <c r="C195" s="448" t="s">
        <v>272</v>
      </c>
      <c r="D195" s="448">
        <v>0.06</v>
      </c>
      <c r="E195" s="448" t="s">
        <v>198</v>
      </c>
      <c r="F195" s="450">
        <v>0.06</v>
      </c>
      <c r="G195" s="448"/>
      <c r="H195" s="448" t="s">
        <v>272</v>
      </c>
      <c r="I195" s="450">
        <v>0.04</v>
      </c>
      <c r="J195" s="448" t="s">
        <v>198</v>
      </c>
    </row>
    <row r="196" spans="1:10" ht="12.75">
      <c r="A196" s="449">
        <v>35806</v>
      </c>
      <c r="B196" s="448" t="s">
        <v>423</v>
      </c>
      <c r="C196" s="448" t="s">
        <v>272</v>
      </c>
      <c r="D196" s="451">
        <v>0.008</v>
      </c>
      <c r="E196" s="448" t="s">
        <v>198</v>
      </c>
      <c r="F196" s="451">
        <v>0.008</v>
      </c>
      <c r="G196" s="448"/>
      <c r="H196" s="448"/>
      <c r="I196" s="448"/>
      <c r="J196" s="448"/>
    </row>
    <row r="197" spans="1:10" ht="12.75">
      <c r="A197" s="449">
        <v>35899</v>
      </c>
      <c r="B197" s="448" t="s">
        <v>423</v>
      </c>
      <c r="C197" s="448" t="s">
        <v>272</v>
      </c>
      <c r="D197" s="451">
        <v>0.008</v>
      </c>
      <c r="E197" s="448" t="s">
        <v>198</v>
      </c>
      <c r="F197" s="451">
        <v>0.008</v>
      </c>
      <c r="G197" s="448"/>
      <c r="H197" s="448"/>
      <c r="I197" s="448"/>
      <c r="J197" s="448"/>
    </row>
    <row r="198" spans="1:10" ht="12.75">
      <c r="A198" s="449">
        <v>35929</v>
      </c>
      <c r="B198" s="448" t="s">
        <v>423</v>
      </c>
      <c r="C198" s="448" t="s">
        <v>272</v>
      </c>
      <c r="D198" s="451">
        <v>0.008</v>
      </c>
      <c r="E198" s="448" t="s">
        <v>198</v>
      </c>
      <c r="F198" s="451">
        <v>0.008</v>
      </c>
      <c r="G198" s="448"/>
      <c r="H198" s="448"/>
      <c r="I198" s="448"/>
      <c r="J198" s="448"/>
    </row>
    <row r="199" spans="1:10" ht="12.75">
      <c r="A199" s="449">
        <v>36081</v>
      </c>
      <c r="B199" s="448" t="s">
        <v>423</v>
      </c>
      <c r="C199" s="448" t="s">
        <v>272</v>
      </c>
      <c r="D199" s="451">
        <v>0.008</v>
      </c>
      <c r="E199" s="448" t="s">
        <v>198</v>
      </c>
      <c r="F199" s="451">
        <v>0.008</v>
      </c>
      <c r="G199" s="448"/>
      <c r="H199" s="448"/>
      <c r="I199" s="448"/>
      <c r="J199" s="448"/>
    </row>
    <row r="200" spans="1:10" ht="12.75">
      <c r="A200" s="449">
        <v>36171</v>
      </c>
      <c r="B200" s="448" t="s">
        <v>423</v>
      </c>
      <c r="C200" s="448" t="s">
        <v>272</v>
      </c>
      <c r="D200" s="450">
        <v>0.03</v>
      </c>
      <c r="E200" s="448" t="s">
        <v>198</v>
      </c>
      <c r="F200" s="450">
        <v>0.03</v>
      </c>
      <c r="G200" s="448"/>
      <c r="H200" s="448"/>
      <c r="I200" s="448"/>
      <c r="J200" s="448"/>
    </row>
    <row r="201" spans="1:10" ht="12.75">
      <c r="A201" s="449">
        <v>36264</v>
      </c>
      <c r="B201" s="448" t="s">
        <v>423</v>
      </c>
      <c r="C201" s="448" t="s">
        <v>272</v>
      </c>
      <c r="D201" s="450">
        <v>0.03</v>
      </c>
      <c r="E201" s="448" t="s">
        <v>198</v>
      </c>
      <c r="F201" s="450">
        <v>0.03</v>
      </c>
      <c r="G201" s="448"/>
      <c r="H201" s="448"/>
      <c r="I201" s="448"/>
      <c r="J201" s="448"/>
    </row>
    <row r="202" spans="1:10" ht="12.75">
      <c r="A202" s="449">
        <v>36355</v>
      </c>
      <c r="B202" s="448" t="s">
        <v>423</v>
      </c>
      <c r="C202" s="448" t="s">
        <v>272</v>
      </c>
      <c r="D202" s="450">
        <v>0.03</v>
      </c>
      <c r="E202" s="448" t="s">
        <v>198</v>
      </c>
      <c r="F202" s="450">
        <v>0.03</v>
      </c>
      <c r="G202" s="448"/>
      <c r="H202" s="448"/>
      <c r="I202" s="448"/>
      <c r="J202" s="448"/>
    </row>
    <row r="203" spans="1:10" ht="12.75">
      <c r="A203" s="449">
        <v>36510</v>
      </c>
      <c r="B203" s="448" t="s">
        <v>423</v>
      </c>
      <c r="C203" s="448" t="s">
        <v>272</v>
      </c>
      <c r="D203" s="451">
        <v>0.08</v>
      </c>
      <c r="E203" s="448" t="s">
        <v>198</v>
      </c>
      <c r="F203" s="451">
        <v>0.08</v>
      </c>
      <c r="G203" s="448"/>
      <c r="H203" s="448"/>
      <c r="I203" s="448"/>
      <c r="J203" s="448"/>
    </row>
    <row r="204" spans="1:10" ht="12.75">
      <c r="A204" s="449">
        <v>36566</v>
      </c>
      <c r="B204" s="448" t="s">
        <v>423</v>
      </c>
      <c r="C204" s="448" t="s">
        <v>272</v>
      </c>
      <c r="D204" s="451">
        <v>0.08</v>
      </c>
      <c r="E204" s="448" t="s">
        <v>198</v>
      </c>
      <c r="F204" s="451">
        <v>0.08</v>
      </c>
      <c r="G204" s="448"/>
      <c r="H204" s="448"/>
      <c r="I204" s="448"/>
      <c r="J204" s="448"/>
    </row>
    <row r="205" spans="1:10" ht="12.75">
      <c r="A205" s="449">
        <v>36685</v>
      </c>
      <c r="B205" s="448" t="s">
        <v>423</v>
      </c>
      <c r="C205" s="448" t="s">
        <v>272</v>
      </c>
      <c r="D205" s="451">
        <v>0.08</v>
      </c>
      <c r="E205" s="448" t="s">
        <v>198</v>
      </c>
      <c r="F205" s="451">
        <v>0.08</v>
      </c>
      <c r="G205" s="448"/>
      <c r="H205" s="448"/>
      <c r="I205" s="448"/>
      <c r="J205" s="448"/>
    </row>
    <row r="206" spans="1:10" ht="12.75">
      <c r="A206" s="449">
        <v>36875</v>
      </c>
      <c r="B206" s="448" t="s">
        <v>423</v>
      </c>
      <c r="C206" s="448" t="s">
        <v>272</v>
      </c>
      <c r="D206" s="450">
        <v>0.03</v>
      </c>
      <c r="E206" s="448" t="s">
        <v>198</v>
      </c>
      <c r="F206" s="450">
        <v>0.03</v>
      </c>
      <c r="G206" s="448"/>
      <c r="H206" s="448"/>
      <c r="I206" s="448"/>
      <c r="J206" s="448"/>
    </row>
    <row r="207" spans="1:10" ht="12.75">
      <c r="A207" s="449">
        <v>36959</v>
      </c>
      <c r="B207" s="448" t="s">
        <v>423</v>
      </c>
      <c r="C207" s="448" t="s">
        <v>272</v>
      </c>
      <c r="D207" s="450">
        <v>0.03</v>
      </c>
      <c r="E207" s="448" t="s">
        <v>198</v>
      </c>
      <c r="F207" s="450">
        <v>0.03</v>
      </c>
      <c r="G207" s="448"/>
      <c r="H207" s="448"/>
      <c r="I207" s="448"/>
      <c r="J207" s="448"/>
    </row>
    <row r="208" spans="1:10" ht="12.75">
      <c r="A208" s="449">
        <v>37027</v>
      </c>
      <c r="B208" s="448" t="s">
        <v>423</v>
      </c>
      <c r="C208" s="448" t="s">
        <v>272</v>
      </c>
      <c r="D208" s="450">
        <v>0.03</v>
      </c>
      <c r="E208" s="448" t="s">
        <v>198</v>
      </c>
      <c r="F208" s="450">
        <v>0.03</v>
      </c>
      <c r="G208" s="448"/>
      <c r="H208" s="448"/>
      <c r="I208" s="448"/>
      <c r="J208" s="448"/>
    </row>
    <row r="209" spans="1:10" ht="12.75">
      <c r="A209" s="449">
        <v>37119</v>
      </c>
      <c r="B209" s="448" t="s">
        <v>423</v>
      </c>
      <c r="C209" s="448" t="s">
        <v>272</v>
      </c>
      <c r="D209" s="450">
        <v>0.02</v>
      </c>
      <c r="E209" s="448" t="s">
        <v>198</v>
      </c>
      <c r="F209" s="450">
        <v>0.02</v>
      </c>
      <c r="G209" s="448"/>
      <c r="H209" s="448"/>
      <c r="I209" s="448"/>
      <c r="J209" s="448"/>
    </row>
    <row r="210" spans="1:10" ht="12.75">
      <c r="A210" s="449">
        <v>37243</v>
      </c>
      <c r="B210" s="448" t="s">
        <v>423</v>
      </c>
      <c r="C210" s="448" t="s">
        <v>272</v>
      </c>
      <c r="D210" s="450">
        <v>0.0248</v>
      </c>
      <c r="E210" s="448" t="s">
        <v>198</v>
      </c>
      <c r="F210" s="450">
        <v>0.0248</v>
      </c>
      <c r="G210" s="448"/>
      <c r="H210" s="448"/>
      <c r="I210" s="448"/>
      <c r="J210" s="448"/>
    </row>
    <row r="211" spans="1:10" ht="12.75">
      <c r="A211" s="449">
        <v>37332</v>
      </c>
      <c r="B211" s="448" t="s">
        <v>423</v>
      </c>
      <c r="C211" s="448" t="s">
        <v>272</v>
      </c>
      <c r="D211" s="450">
        <v>0.0248</v>
      </c>
      <c r="E211" s="448" t="s">
        <v>198</v>
      </c>
      <c r="F211" s="450">
        <v>0.0248</v>
      </c>
      <c r="G211" s="448"/>
      <c r="H211" s="448"/>
      <c r="I211" s="448"/>
      <c r="J211" s="448"/>
    </row>
    <row r="212" spans="1:10" ht="12.75">
      <c r="A212" s="449">
        <v>37416</v>
      </c>
      <c r="B212" s="448" t="s">
        <v>423</v>
      </c>
      <c r="C212" s="448" t="s">
        <v>272</v>
      </c>
      <c r="D212" s="450">
        <v>0.0248</v>
      </c>
      <c r="E212" s="448" t="s">
        <v>198</v>
      </c>
      <c r="F212" s="450">
        <v>0.0248</v>
      </c>
      <c r="G212" s="448"/>
      <c r="H212" s="448"/>
      <c r="I212" s="448"/>
      <c r="J212" s="448"/>
    </row>
    <row r="213" spans="1:10" ht="12.75">
      <c r="A213" s="449">
        <v>37521</v>
      </c>
      <c r="B213" s="448" t="s">
        <v>423</v>
      </c>
      <c r="C213" s="448" t="s">
        <v>272</v>
      </c>
      <c r="D213" s="450">
        <v>0.0248</v>
      </c>
      <c r="E213" s="448" t="s">
        <v>198</v>
      </c>
      <c r="F213" s="450">
        <v>0.0248</v>
      </c>
      <c r="G213" s="448"/>
      <c r="H213" s="448"/>
      <c r="I213" s="448"/>
      <c r="J213" s="448"/>
    </row>
    <row r="214" spans="1:10" ht="12.75">
      <c r="A214" s="449">
        <v>37591</v>
      </c>
      <c r="B214" s="448" t="s">
        <v>423</v>
      </c>
      <c r="C214" s="448" t="s">
        <v>272</v>
      </c>
      <c r="D214" s="448">
        <v>0.03</v>
      </c>
      <c r="E214" s="448" t="s">
        <v>198</v>
      </c>
      <c r="F214" s="450">
        <v>0.03</v>
      </c>
      <c r="G214" s="448"/>
      <c r="H214" s="448"/>
      <c r="I214" s="448"/>
      <c r="J214" s="448"/>
    </row>
    <row r="215" spans="1:10" ht="12.75">
      <c r="A215" s="449">
        <v>37671</v>
      </c>
      <c r="B215" s="448" t="s">
        <v>423</v>
      </c>
      <c r="C215" s="448" t="s">
        <v>272</v>
      </c>
      <c r="D215" s="448">
        <v>0.03</v>
      </c>
      <c r="E215" s="448" t="s">
        <v>198</v>
      </c>
      <c r="F215" s="450">
        <v>0.03</v>
      </c>
      <c r="G215" s="448"/>
      <c r="H215" s="448" t="s">
        <v>272</v>
      </c>
      <c r="I215" s="451">
        <v>0.008</v>
      </c>
      <c r="J215" s="448" t="s">
        <v>198</v>
      </c>
    </row>
    <row r="216" spans="1:10" ht="12.75">
      <c r="A216" s="449">
        <v>35806</v>
      </c>
      <c r="B216" s="448" t="s">
        <v>424</v>
      </c>
      <c r="C216" s="448" t="s">
        <v>272</v>
      </c>
      <c r="D216" s="451">
        <v>0.01</v>
      </c>
      <c r="E216" s="448" t="s">
        <v>198</v>
      </c>
      <c r="F216" s="451">
        <v>0.01</v>
      </c>
      <c r="G216" s="448"/>
      <c r="H216" s="448"/>
      <c r="I216" s="448"/>
      <c r="J216" s="448"/>
    </row>
    <row r="217" spans="1:10" ht="12.75">
      <c r="A217" s="449">
        <v>35899</v>
      </c>
      <c r="B217" s="448" t="s">
        <v>424</v>
      </c>
      <c r="C217" s="448" t="s">
        <v>272</v>
      </c>
      <c r="D217" s="451">
        <v>0.01</v>
      </c>
      <c r="E217" s="448" t="s">
        <v>198</v>
      </c>
      <c r="F217" s="451">
        <v>0.01</v>
      </c>
      <c r="G217" s="448"/>
      <c r="H217" s="448"/>
      <c r="I217" s="448"/>
      <c r="J217" s="448"/>
    </row>
    <row r="218" spans="1:10" ht="12.75">
      <c r="A218" s="449">
        <v>35929</v>
      </c>
      <c r="B218" s="448" t="s">
        <v>424</v>
      </c>
      <c r="C218" s="448" t="s">
        <v>272</v>
      </c>
      <c r="D218" s="451">
        <v>0.01</v>
      </c>
      <c r="E218" s="448" t="s">
        <v>198</v>
      </c>
      <c r="F218" s="451">
        <v>0.01</v>
      </c>
      <c r="G218" s="448"/>
      <c r="H218" s="448"/>
      <c r="I218" s="448"/>
      <c r="J218" s="448"/>
    </row>
    <row r="219" spans="1:10" ht="12.75">
      <c r="A219" s="449">
        <v>36081</v>
      </c>
      <c r="B219" s="448" t="s">
        <v>424</v>
      </c>
      <c r="C219" s="448" t="s">
        <v>272</v>
      </c>
      <c r="D219" s="451">
        <v>0.01</v>
      </c>
      <c r="E219" s="448" t="s">
        <v>198</v>
      </c>
      <c r="F219" s="451">
        <v>0.01</v>
      </c>
      <c r="G219" s="448"/>
      <c r="H219" s="448"/>
      <c r="I219" s="448"/>
      <c r="J219" s="448"/>
    </row>
    <row r="220" spans="1:10" ht="12.75">
      <c r="A220" s="449">
        <v>36171</v>
      </c>
      <c r="B220" s="448" t="s">
        <v>424</v>
      </c>
      <c r="C220" s="448" t="s">
        <v>272</v>
      </c>
      <c r="D220" s="450">
        <v>0.03</v>
      </c>
      <c r="E220" s="448" t="s">
        <v>198</v>
      </c>
      <c r="F220" s="450">
        <v>0.03</v>
      </c>
      <c r="G220" s="448"/>
      <c r="H220" s="448"/>
      <c r="I220" s="448"/>
      <c r="J220" s="448"/>
    </row>
    <row r="221" spans="1:10" ht="12.75">
      <c r="A221" s="449">
        <v>36264</v>
      </c>
      <c r="B221" s="448" t="s">
        <v>424</v>
      </c>
      <c r="C221" s="448" t="s">
        <v>272</v>
      </c>
      <c r="D221" s="450">
        <v>0.03</v>
      </c>
      <c r="E221" s="448" t="s">
        <v>198</v>
      </c>
      <c r="F221" s="450">
        <v>0.03</v>
      </c>
      <c r="G221" s="448"/>
      <c r="H221" s="448"/>
      <c r="I221" s="448"/>
      <c r="J221" s="448"/>
    </row>
    <row r="222" spans="1:10" ht="12.75">
      <c r="A222" s="449">
        <v>36355</v>
      </c>
      <c r="B222" s="448" t="s">
        <v>424</v>
      </c>
      <c r="C222" s="448" t="s">
        <v>272</v>
      </c>
      <c r="D222" s="450">
        <v>0.03</v>
      </c>
      <c r="E222" s="448" t="s">
        <v>198</v>
      </c>
      <c r="F222" s="450">
        <v>0.03</v>
      </c>
      <c r="G222" s="448"/>
      <c r="H222" s="448"/>
      <c r="I222" s="448"/>
      <c r="J222" s="448"/>
    </row>
    <row r="223" spans="1:10" ht="12.75">
      <c r="A223" s="449">
        <v>36510</v>
      </c>
      <c r="B223" s="448" t="s">
        <v>424</v>
      </c>
      <c r="C223" s="448" t="s">
        <v>272</v>
      </c>
      <c r="D223" s="451">
        <v>0.01</v>
      </c>
      <c r="E223" s="448" t="s">
        <v>198</v>
      </c>
      <c r="F223" s="451">
        <v>0.01</v>
      </c>
      <c r="G223" s="448"/>
      <c r="H223" s="448"/>
      <c r="I223" s="448"/>
      <c r="J223" s="448"/>
    </row>
    <row r="224" spans="1:10" ht="12.75">
      <c r="A224" s="449">
        <v>36566</v>
      </c>
      <c r="B224" s="448" t="s">
        <v>424</v>
      </c>
      <c r="C224" s="448" t="s">
        <v>272</v>
      </c>
      <c r="D224" s="451">
        <v>0.01</v>
      </c>
      <c r="E224" s="448" t="s">
        <v>198</v>
      </c>
      <c r="F224" s="451">
        <v>0.01</v>
      </c>
      <c r="G224" s="448"/>
      <c r="H224" s="448"/>
      <c r="I224" s="448"/>
      <c r="J224" s="448"/>
    </row>
    <row r="225" spans="1:10" ht="12.75">
      <c r="A225" s="449">
        <v>36685</v>
      </c>
      <c r="B225" s="448" t="s">
        <v>424</v>
      </c>
      <c r="C225" s="448" t="s">
        <v>272</v>
      </c>
      <c r="D225" s="451">
        <v>0.01</v>
      </c>
      <c r="E225" s="448" t="s">
        <v>198</v>
      </c>
      <c r="F225" s="451">
        <v>0.01</v>
      </c>
      <c r="G225" s="448"/>
      <c r="H225" s="448"/>
      <c r="I225" s="448"/>
      <c r="J225" s="448"/>
    </row>
    <row r="226" spans="1:10" ht="12.75">
      <c r="A226" s="449">
        <v>36875</v>
      </c>
      <c r="B226" s="448" t="s">
        <v>424</v>
      </c>
      <c r="C226" s="448" t="s">
        <v>272</v>
      </c>
      <c r="D226" s="450">
        <v>0.03</v>
      </c>
      <c r="E226" s="448" t="s">
        <v>198</v>
      </c>
      <c r="F226" s="450">
        <v>0.03</v>
      </c>
      <c r="G226" s="448"/>
      <c r="H226" s="448"/>
      <c r="I226" s="448"/>
      <c r="J226" s="448"/>
    </row>
    <row r="227" spans="1:10" ht="12.75">
      <c r="A227" s="449">
        <v>36959</v>
      </c>
      <c r="B227" s="448" t="s">
        <v>424</v>
      </c>
      <c r="C227" s="448" t="s">
        <v>272</v>
      </c>
      <c r="D227" s="450">
        <v>0.03</v>
      </c>
      <c r="E227" s="448" t="s">
        <v>198</v>
      </c>
      <c r="F227" s="450">
        <v>0.03</v>
      </c>
      <c r="G227" s="448"/>
      <c r="H227" s="448"/>
      <c r="I227" s="448"/>
      <c r="J227" s="448"/>
    </row>
    <row r="228" spans="1:10" ht="12.75">
      <c r="A228" s="449">
        <v>37027</v>
      </c>
      <c r="B228" s="448" t="s">
        <v>424</v>
      </c>
      <c r="C228" s="448" t="s">
        <v>272</v>
      </c>
      <c r="D228" s="450">
        <v>0.03</v>
      </c>
      <c r="E228" s="448" t="s">
        <v>198</v>
      </c>
      <c r="F228" s="450">
        <v>0.03</v>
      </c>
      <c r="G228" s="448"/>
      <c r="H228" s="448"/>
      <c r="I228" s="448"/>
      <c r="J228" s="448"/>
    </row>
    <row r="229" spans="1:10" ht="12.75">
      <c r="A229" s="449">
        <v>37119</v>
      </c>
      <c r="B229" s="448" t="s">
        <v>424</v>
      </c>
      <c r="C229" s="448" t="s">
        <v>272</v>
      </c>
      <c r="D229" s="450">
        <v>0.02</v>
      </c>
      <c r="E229" s="448" t="s">
        <v>198</v>
      </c>
      <c r="F229" s="450">
        <v>0.02</v>
      </c>
      <c r="G229" s="448"/>
      <c r="H229" s="448"/>
      <c r="I229" s="448"/>
      <c r="J229" s="448"/>
    </row>
    <row r="230" spans="1:10" ht="12.75">
      <c r="A230" s="449">
        <v>37243</v>
      </c>
      <c r="B230" s="448" t="s">
        <v>424</v>
      </c>
      <c r="C230" s="448" t="s">
        <v>272</v>
      </c>
      <c r="D230" s="450">
        <v>0.0247</v>
      </c>
      <c r="E230" s="448" t="s">
        <v>198</v>
      </c>
      <c r="F230" s="450">
        <v>0.0247</v>
      </c>
      <c r="G230" s="448"/>
      <c r="H230" s="448"/>
      <c r="I230" s="448"/>
      <c r="J230" s="448"/>
    </row>
    <row r="231" spans="1:10" ht="12.75">
      <c r="A231" s="449">
        <v>37332</v>
      </c>
      <c r="B231" s="448" t="s">
        <v>424</v>
      </c>
      <c r="C231" s="448" t="s">
        <v>272</v>
      </c>
      <c r="D231" s="450">
        <v>0.0247</v>
      </c>
      <c r="E231" s="448" t="s">
        <v>198</v>
      </c>
      <c r="F231" s="450">
        <v>0.0247</v>
      </c>
      <c r="G231" s="448"/>
      <c r="H231" s="448"/>
      <c r="I231" s="448"/>
      <c r="J231" s="448"/>
    </row>
    <row r="232" spans="1:10" ht="12.75">
      <c r="A232" s="449">
        <v>37416</v>
      </c>
      <c r="B232" s="448" t="s">
        <v>424</v>
      </c>
      <c r="C232" s="448" t="s">
        <v>272</v>
      </c>
      <c r="D232" s="450">
        <v>0.0247</v>
      </c>
      <c r="E232" s="448" t="s">
        <v>198</v>
      </c>
      <c r="F232" s="450">
        <v>0.0247</v>
      </c>
      <c r="G232" s="448"/>
      <c r="H232" s="448"/>
      <c r="I232" s="448"/>
      <c r="J232" s="448"/>
    </row>
    <row r="233" spans="1:10" ht="12.75">
      <c r="A233" s="449">
        <v>37521</v>
      </c>
      <c r="B233" s="448" t="s">
        <v>424</v>
      </c>
      <c r="C233" s="448" t="s">
        <v>272</v>
      </c>
      <c r="D233" s="450">
        <v>0.0247</v>
      </c>
      <c r="E233" s="448" t="s">
        <v>198</v>
      </c>
      <c r="F233" s="450">
        <v>0.0247</v>
      </c>
      <c r="G233" s="448"/>
      <c r="H233" s="448"/>
      <c r="I233" s="448"/>
      <c r="J233" s="448"/>
    </row>
    <row r="234" spans="1:10" ht="12.75">
      <c r="A234" s="449">
        <v>37591</v>
      </c>
      <c r="B234" s="448" t="s">
        <v>424</v>
      </c>
      <c r="C234" s="448" t="s">
        <v>272</v>
      </c>
      <c r="D234" s="448">
        <v>0.03</v>
      </c>
      <c r="E234" s="448" t="s">
        <v>198</v>
      </c>
      <c r="F234" s="450">
        <v>0.03</v>
      </c>
      <c r="G234" s="448"/>
      <c r="H234" s="448"/>
      <c r="I234" s="448"/>
      <c r="J234" s="448"/>
    </row>
    <row r="235" spans="1:10" ht="12.75">
      <c r="A235" s="449">
        <v>37671</v>
      </c>
      <c r="B235" s="448" t="s">
        <v>424</v>
      </c>
      <c r="C235" s="448" t="s">
        <v>272</v>
      </c>
      <c r="D235" s="448">
        <v>0.03</v>
      </c>
      <c r="E235" s="448" t="s">
        <v>198</v>
      </c>
      <c r="F235" s="450">
        <v>0.03</v>
      </c>
      <c r="G235" s="448"/>
      <c r="H235" s="448" t="s">
        <v>272</v>
      </c>
      <c r="I235" s="451">
        <v>0.01</v>
      </c>
      <c r="J235" s="448" t="s">
        <v>198</v>
      </c>
    </row>
    <row r="236" spans="1:10" ht="12.75">
      <c r="A236" s="449">
        <v>37119</v>
      </c>
      <c r="B236" s="448" t="s">
        <v>107</v>
      </c>
      <c r="C236" s="448" t="s">
        <v>272</v>
      </c>
      <c r="D236" s="450">
        <v>0.06</v>
      </c>
      <c r="E236" s="448" t="s">
        <v>198</v>
      </c>
      <c r="F236" s="450">
        <v>0.06</v>
      </c>
      <c r="G236" s="448"/>
      <c r="H236" s="448"/>
      <c r="I236" s="448"/>
      <c r="J236" s="448"/>
    </row>
    <row r="237" spans="1:10" ht="12.75">
      <c r="A237" s="449">
        <v>37243</v>
      </c>
      <c r="B237" s="448" t="s">
        <v>107</v>
      </c>
      <c r="C237" s="448" t="s">
        <v>272</v>
      </c>
      <c r="D237" s="450">
        <v>0.0586</v>
      </c>
      <c r="E237" s="448" t="s">
        <v>198</v>
      </c>
      <c r="F237" s="450">
        <v>0.0586</v>
      </c>
      <c r="G237" s="448"/>
      <c r="H237" s="448"/>
      <c r="I237" s="448"/>
      <c r="J237" s="448"/>
    </row>
    <row r="238" spans="1:10" ht="12.75">
      <c r="A238" s="449">
        <v>37332</v>
      </c>
      <c r="B238" s="448" t="s">
        <v>107</v>
      </c>
      <c r="C238" s="448" t="s">
        <v>272</v>
      </c>
      <c r="D238" s="450">
        <v>0.0586</v>
      </c>
      <c r="E238" s="448" t="s">
        <v>198</v>
      </c>
      <c r="F238" s="450">
        <v>0.0586</v>
      </c>
      <c r="G238" s="448"/>
      <c r="H238" s="448"/>
      <c r="I238" s="448"/>
      <c r="J238" s="448"/>
    </row>
    <row r="239" spans="1:10" ht="12.75">
      <c r="A239" s="449">
        <v>37416</v>
      </c>
      <c r="B239" s="448" t="s">
        <v>107</v>
      </c>
      <c r="C239" s="448" t="s">
        <v>272</v>
      </c>
      <c r="D239" s="450">
        <v>0.0586</v>
      </c>
      <c r="E239" s="448" t="s">
        <v>198</v>
      </c>
      <c r="F239" s="450">
        <v>0.0586</v>
      </c>
      <c r="G239" s="448"/>
      <c r="H239" s="448"/>
      <c r="I239" s="448"/>
      <c r="J239" s="448"/>
    </row>
    <row r="240" spans="1:10" ht="12.75">
      <c r="A240" s="449">
        <v>37521</v>
      </c>
      <c r="B240" s="448" t="s">
        <v>107</v>
      </c>
      <c r="C240" s="448" t="s">
        <v>272</v>
      </c>
      <c r="D240" s="450">
        <v>0.0586</v>
      </c>
      <c r="E240" s="448" t="s">
        <v>198</v>
      </c>
      <c r="F240" s="450">
        <v>0.0586</v>
      </c>
      <c r="G240" s="448"/>
      <c r="H240" s="448"/>
      <c r="I240" s="448"/>
      <c r="J240" s="448"/>
    </row>
    <row r="241" spans="1:10" ht="12.75">
      <c r="A241" s="449">
        <v>37591</v>
      </c>
      <c r="B241" s="448" t="s">
        <v>107</v>
      </c>
      <c r="C241" s="448" t="s">
        <v>272</v>
      </c>
      <c r="D241" s="448">
        <v>0.08</v>
      </c>
      <c r="E241" s="448" t="s">
        <v>198</v>
      </c>
      <c r="F241" s="450">
        <v>0.08</v>
      </c>
      <c r="G241" s="448"/>
      <c r="H241" s="448"/>
      <c r="I241" s="448"/>
      <c r="J241" s="448"/>
    </row>
    <row r="242" spans="1:10" ht="12.75">
      <c r="A242" s="449">
        <v>37671</v>
      </c>
      <c r="B242" s="448" t="s">
        <v>107</v>
      </c>
      <c r="C242" s="448" t="s">
        <v>272</v>
      </c>
      <c r="D242" s="448">
        <v>0.08</v>
      </c>
      <c r="E242" s="448" t="s">
        <v>198</v>
      </c>
      <c r="F242" s="450">
        <v>0.08</v>
      </c>
      <c r="G242" s="448"/>
      <c r="H242" s="448" t="s">
        <v>272</v>
      </c>
      <c r="I242" s="450">
        <v>0.06</v>
      </c>
      <c r="J242" s="448" t="s">
        <v>198</v>
      </c>
    </row>
    <row r="243" spans="1:10" ht="12.75">
      <c r="A243" s="449">
        <v>35806</v>
      </c>
      <c r="B243" s="448" t="s">
        <v>425</v>
      </c>
      <c r="C243" s="448"/>
      <c r="D243" s="446">
        <v>0.149</v>
      </c>
      <c r="E243" s="448" t="s">
        <v>198</v>
      </c>
      <c r="F243" s="451">
        <v>0.005</v>
      </c>
      <c r="G243" s="448"/>
      <c r="H243" s="448"/>
      <c r="I243" s="448"/>
      <c r="J243" s="448"/>
    </row>
    <row r="244" spans="1:10" ht="12.75">
      <c r="A244" s="449">
        <v>35899</v>
      </c>
      <c r="B244" s="448" t="s">
        <v>425</v>
      </c>
      <c r="C244" s="448" t="s">
        <v>272</v>
      </c>
      <c r="D244" s="451">
        <v>0.005</v>
      </c>
      <c r="E244" s="448" t="s">
        <v>198</v>
      </c>
      <c r="F244" s="451">
        <v>0.005</v>
      </c>
      <c r="G244" s="448"/>
      <c r="H244" s="448"/>
      <c r="I244" s="448"/>
      <c r="J244" s="448"/>
    </row>
    <row r="245" spans="1:10" ht="12.75">
      <c r="A245" s="449">
        <v>35929</v>
      </c>
      <c r="B245" s="448" t="s">
        <v>425</v>
      </c>
      <c r="C245" s="448" t="s">
        <v>272</v>
      </c>
      <c r="D245" s="451">
        <v>0.005</v>
      </c>
      <c r="E245" s="448" t="s">
        <v>198</v>
      </c>
      <c r="F245" s="451">
        <v>0.005</v>
      </c>
      <c r="G245" s="448"/>
      <c r="H245" s="448"/>
      <c r="I245" s="448"/>
      <c r="J245" s="448"/>
    </row>
    <row r="246" spans="1:10" ht="12.75">
      <c r="A246" s="449">
        <v>36081</v>
      </c>
      <c r="B246" s="448" t="s">
        <v>425</v>
      </c>
      <c r="C246" s="448" t="s">
        <v>272</v>
      </c>
      <c r="D246" s="451">
        <v>0.005</v>
      </c>
      <c r="E246" s="448" t="s">
        <v>198</v>
      </c>
      <c r="F246" s="451">
        <v>0.005</v>
      </c>
      <c r="G246" s="448"/>
      <c r="H246" s="448"/>
      <c r="I246" s="448"/>
      <c r="J246" s="448"/>
    </row>
    <row r="247" spans="1:10" ht="12.75">
      <c r="A247" s="449">
        <v>36171</v>
      </c>
      <c r="B247" s="448" t="s">
        <v>425</v>
      </c>
      <c r="C247" s="448" t="s">
        <v>272</v>
      </c>
      <c r="D247" s="450">
        <v>0.06</v>
      </c>
      <c r="E247" s="448" t="s">
        <v>198</v>
      </c>
      <c r="F247" s="450">
        <v>0.06</v>
      </c>
      <c r="G247" s="448"/>
      <c r="H247" s="448"/>
      <c r="I247" s="448"/>
      <c r="J247" s="448"/>
    </row>
    <row r="248" spans="1:10" ht="12.75">
      <c r="A248" s="449">
        <v>36264</v>
      </c>
      <c r="B248" s="448" t="s">
        <v>425</v>
      </c>
      <c r="C248" s="448" t="s">
        <v>272</v>
      </c>
      <c r="D248" s="450">
        <v>0.06</v>
      </c>
      <c r="E248" s="448" t="s">
        <v>198</v>
      </c>
      <c r="F248" s="450">
        <v>0.06</v>
      </c>
      <c r="G248" s="448"/>
      <c r="H248" s="448"/>
      <c r="I248" s="448"/>
      <c r="J248" s="448"/>
    </row>
    <row r="249" spans="1:10" ht="12.75">
      <c r="A249" s="449">
        <v>36355</v>
      </c>
      <c r="B249" s="448" t="s">
        <v>425</v>
      </c>
      <c r="C249" s="448" t="s">
        <v>272</v>
      </c>
      <c r="D249" s="450">
        <v>0.06</v>
      </c>
      <c r="E249" s="448" t="s">
        <v>198</v>
      </c>
      <c r="F249" s="450">
        <v>0.06</v>
      </c>
      <c r="G249" s="448"/>
      <c r="H249" s="448"/>
      <c r="I249" s="448"/>
      <c r="J249" s="448"/>
    </row>
    <row r="250" spans="1:10" ht="12.75">
      <c r="A250" s="449">
        <v>36510</v>
      </c>
      <c r="B250" s="448" t="s">
        <v>425</v>
      </c>
      <c r="C250" s="448" t="s">
        <v>272</v>
      </c>
      <c r="D250" s="451">
        <v>0.005</v>
      </c>
      <c r="E250" s="448" t="s">
        <v>198</v>
      </c>
      <c r="F250" s="451">
        <v>0.005</v>
      </c>
      <c r="G250" s="448"/>
      <c r="H250" s="448"/>
      <c r="I250" s="448"/>
      <c r="J250" s="448"/>
    </row>
    <row r="251" spans="1:10" ht="12.75">
      <c r="A251" s="449">
        <v>36566</v>
      </c>
      <c r="B251" s="448" t="s">
        <v>425</v>
      </c>
      <c r="C251" s="448" t="s">
        <v>272</v>
      </c>
      <c r="D251" s="451">
        <v>0.005</v>
      </c>
      <c r="E251" s="448" t="s">
        <v>198</v>
      </c>
      <c r="F251" s="451">
        <v>0.005</v>
      </c>
      <c r="G251" s="448"/>
      <c r="H251" s="448"/>
      <c r="I251" s="448"/>
      <c r="J251" s="448"/>
    </row>
    <row r="252" spans="1:10" ht="12.75">
      <c r="A252" s="449">
        <v>36685</v>
      </c>
      <c r="B252" s="448" t="s">
        <v>425</v>
      </c>
      <c r="C252" s="448" t="s">
        <v>272</v>
      </c>
      <c r="D252" s="451">
        <v>0.005</v>
      </c>
      <c r="E252" s="448" t="s">
        <v>198</v>
      </c>
      <c r="F252" s="451">
        <v>0.005</v>
      </c>
      <c r="G252" s="448"/>
      <c r="H252" s="448"/>
      <c r="I252" s="448"/>
      <c r="J252" s="448"/>
    </row>
    <row r="253" spans="1:10" ht="12.75">
      <c r="A253" s="449">
        <v>36875</v>
      </c>
      <c r="B253" s="448" t="s">
        <v>425</v>
      </c>
      <c r="C253" s="448" t="s">
        <v>272</v>
      </c>
      <c r="D253" s="450">
        <v>0.06</v>
      </c>
      <c r="E253" s="448" t="s">
        <v>198</v>
      </c>
      <c r="F253" s="450">
        <v>0.06</v>
      </c>
      <c r="G253" s="448"/>
      <c r="H253" s="448"/>
      <c r="I253" s="448"/>
      <c r="J253" s="448"/>
    </row>
    <row r="254" spans="1:10" ht="12.75">
      <c r="A254" s="449">
        <v>36959</v>
      </c>
      <c r="B254" s="448" t="s">
        <v>425</v>
      </c>
      <c r="C254" s="448" t="s">
        <v>272</v>
      </c>
      <c r="D254" s="450">
        <v>0.06</v>
      </c>
      <c r="E254" s="448" t="s">
        <v>198</v>
      </c>
      <c r="F254" s="450">
        <v>0.06</v>
      </c>
      <c r="G254" s="448"/>
      <c r="H254" s="448"/>
      <c r="I254" s="448"/>
      <c r="J254" s="448"/>
    </row>
    <row r="255" spans="1:10" ht="12.75">
      <c r="A255" s="449">
        <v>37027</v>
      </c>
      <c r="B255" s="448" t="s">
        <v>425</v>
      </c>
      <c r="C255" s="448" t="s">
        <v>272</v>
      </c>
      <c r="D255" s="450">
        <v>0.06</v>
      </c>
      <c r="E255" s="448" t="s">
        <v>198</v>
      </c>
      <c r="F255" s="450">
        <v>0.06</v>
      </c>
      <c r="G255" s="448"/>
      <c r="H255" s="448"/>
      <c r="I255" s="448"/>
      <c r="J255" s="448"/>
    </row>
    <row r="256" spans="1:10" ht="12.75">
      <c r="A256" s="449">
        <v>37119</v>
      </c>
      <c r="B256" s="448" t="s">
        <v>425</v>
      </c>
      <c r="C256" s="448" t="s">
        <v>272</v>
      </c>
      <c r="D256" s="450">
        <v>0.06</v>
      </c>
      <c r="E256" s="448" t="s">
        <v>198</v>
      </c>
      <c r="F256" s="450">
        <v>0.06</v>
      </c>
      <c r="G256" s="448"/>
      <c r="H256" s="448"/>
      <c r="I256" s="448"/>
      <c r="J256" s="448"/>
    </row>
    <row r="257" spans="1:10" ht="12.75">
      <c r="A257" s="449">
        <v>37243</v>
      </c>
      <c r="B257" s="448" t="s">
        <v>425</v>
      </c>
      <c r="C257" s="448" t="s">
        <v>272</v>
      </c>
      <c r="D257" s="450">
        <v>0.0607</v>
      </c>
      <c r="E257" s="448" t="s">
        <v>198</v>
      </c>
      <c r="F257" s="450">
        <v>0.0607</v>
      </c>
      <c r="G257" s="448"/>
      <c r="H257" s="448"/>
      <c r="I257" s="448"/>
      <c r="J257" s="448"/>
    </row>
    <row r="258" spans="1:10" ht="12.75">
      <c r="A258" s="449">
        <v>37332</v>
      </c>
      <c r="B258" s="448" t="s">
        <v>425</v>
      </c>
      <c r="C258" s="448" t="s">
        <v>272</v>
      </c>
      <c r="D258" s="450">
        <v>0.0607</v>
      </c>
      <c r="E258" s="448" t="s">
        <v>198</v>
      </c>
      <c r="F258" s="450">
        <v>0.0607</v>
      </c>
      <c r="G258" s="448"/>
      <c r="H258" s="448"/>
      <c r="I258" s="448"/>
      <c r="J258" s="448"/>
    </row>
    <row r="259" spans="1:10" ht="12.75">
      <c r="A259" s="449">
        <v>37416</v>
      </c>
      <c r="B259" s="448" t="s">
        <v>425</v>
      </c>
      <c r="C259" s="448" t="s">
        <v>272</v>
      </c>
      <c r="D259" s="450">
        <v>0.0607</v>
      </c>
      <c r="E259" s="448" t="s">
        <v>198</v>
      </c>
      <c r="F259" s="450">
        <v>0.0607</v>
      </c>
      <c r="G259" s="448"/>
      <c r="H259" s="448"/>
      <c r="I259" s="448"/>
      <c r="J259" s="448"/>
    </row>
    <row r="260" spans="1:10" ht="12.75">
      <c r="A260" s="449">
        <v>37521</v>
      </c>
      <c r="B260" s="448" t="s">
        <v>425</v>
      </c>
      <c r="C260" s="448"/>
      <c r="D260" s="447">
        <v>0.0952</v>
      </c>
      <c r="E260" s="448" t="s">
        <v>198</v>
      </c>
      <c r="F260" s="450">
        <v>0.0607</v>
      </c>
      <c r="G260" s="448"/>
      <c r="H260" s="448"/>
      <c r="I260" s="448"/>
      <c r="J260" s="448"/>
    </row>
    <row r="261" spans="1:10" ht="12.75">
      <c r="A261" s="449">
        <v>37591</v>
      </c>
      <c r="B261" s="448" t="s">
        <v>425</v>
      </c>
      <c r="C261" s="448" t="s">
        <v>272</v>
      </c>
      <c r="D261" s="448">
        <v>0.03</v>
      </c>
      <c r="E261" s="448" t="s">
        <v>198</v>
      </c>
      <c r="F261" s="450">
        <v>0.03</v>
      </c>
      <c r="G261" s="448"/>
      <c r="H261" s="448"/>
      <c r="I261" s="448"/>
      <c r="J261" s="448"/>
    </row>
    <row r="262" spans="1:10" ht="12.75">
      <c r="A262" s="449">
        <v>37671</v>
      </c>
      <c r="B262" s="448" t="s">
        <v>425</v>
      </c>
      <c r="C262" s="448" t="s">
        <v>272</v>
      </c>
      <c r="D262" s="448">
        <v>0.03</v>
      </c>
      <c r="E262" s="448" t="s">
        <v>198</v>
      </c>
      <c r="F262" s="450">
        <v>0.03</v>
      </c>
      <c r="G262" s="448"/>
      <c r="H262" s="448"/>
      <c r="I262" s="446">
        <v>0.149</v>
      </c>
      <c r="J262" s="448" t="s">
        <v>198</v>
      </c>
    </row>
    <row r="263" spans="1:10" ht="12.75">
      <c r="A263" s="449">
        <v>35806</v>
      </c>
      <c r="B263" s="448" t="s">
        <v>426</v>
      </c>
      <c r="C263" s="448" t="s">
        <v>272</v>
      </c>
      <c r="D263" s="451">
        <v>0.009</v>
      </c>
      <c r="E263" s="448" t="s">
        <v>198</v>
      </c>
      <c r="F263" s="451">
        <v>0.009</v>
      </c>
      <c r="G263" s="448"/>
      <c r="H263" s="448"/>
      <c r="I263" s="448"/>
      <c r="J263" s="448"/>
    </row>
    <row r="264" spans="1:10" ht="12.75">
      <c r="A264" s="449">
        <v>35899</v>
      </c>
      <c r="B264" s="448" t="s">
        <v>426</v>
      </c>
      <c r="C264" s="448" t="s">
        <v>272</v>
      </c>
      <c r="D264" s="451">
        <v>0.009</v>
      </c>
      <c r="E264" s="448" t="s">
        <v>198</v>
      </c>
      <c r="F264" s="451">
        <v>0.009</v>
      </c>
      <c r="G264" s="448"/>
      <c r="H264" s="448"/>
      <c r="I264" s="448"/>
      <c r="J264" s="448"/>
    </row>
    <row r="265" spans="1:10" ht="12.75">
      <c r="A265" s="449">
        <v>35929</v>
      </c>
      <c r="B265" s="448" t="s">
        <v>426</v>
      </c>
      <c r="C265" s="448" t="s">
        <v>272</v>
      </c>
      <c r="D265" s="451">
        <v>0.009</v>
      </c>
      <c r="E265" s="448" t="s">
        <v>198</v>
      </c>
      <c r="F265" s="451">
        <v>0.009</v>
      </c>
      <c r="G265" s="448"/>
      <c r="H265" s="448"/>
      <c r="I265" s="448"/>
      <c r="J265" s="448"/>
    </row>
    <row r="266" spans="1:10" ht="12.75">
      <c r="A266" s="449">
        <v>36081</v>
      </c>
      <c r="B266" s="448" t="s">
        <v>426</v>
      </c>
      <c r="C266" s="448" t="s">
        <v>272</v>
      </c>
      <c r="D266" s="451">
        <v>0.009</v>
      </c>
      <c r="E266" s="448" t="s">
        <v>198</v>
      </c>
      <c r="F266" s="451">
        <v>0.009</v>
      </c>
      <c r="G266" s="448"/>
      <c r="H266" s="448"/>
      <c r="I266" s="448"/>
      <c r="J266" s="448"/>
    </row>
    <row r="267" spans="1:10" ht="12.75">
      <c r="A267" s="449">
        <v>36171</v>
      </c>
      <c r="B267" s="448" t="s">
        <v>426</v>
      </c>
      <c r="C267" s="448" t="s">
        <v>272</v>
      </c>
      <c r="D267" s="450">
        <v>0.03</v>
      </c>
      <c r="E267" s="448" t="s">
        <v>198</v>
      </c>
      <c r="F267" s="450">
        <v>0.03</v>
      </c>
      <c r="G267" s="448"/>
      <c r="H267" s="448"/>
      <c r="I267" s="448"/>
      <c r="J267" s="448"/>
    </row>
    <row r="268" spans="1:10" ht="12.75">
      <c r="A268" s="449">
        <v>36264</v>
      </c>
      <c r="B268" s="448" t="s">
        <v>426</v>
      </c>
      <c r="C268" s="448" t="s">
        <v>272</v>
      </c>
      <c r="D268" s="450">
        <v>0.03</v>
      </c>
      <c r="E268" s="448" t="s">
        <v>198</v>
      </c>
      <c r="F268" s="450">
        <v>0.03</v>
      </c>
      <c r="G268" s="448"/>
      <c r="H268" s="448"/>
      <c r="I268" s="448"/>
      <c r="J268" s="448"/>
    </row>
    <row r="269" spans="1:10" ht="12.75">
      <c r="A269" s="449">
        <v>36355</v>
      </c>
      <c r="B269" s="448" t="s">
        <v>426</v>
      </c>
      <c r="C269" s="448" t="s">
        <v>272</v>
      </c>
      <c r="D269" s="450">
        <v>0.03</v>
      </c>
      <c r="E269" s="448" t="s">
        <v>198</v>
      </c>
      <c r="F269" s="450">
        <v>0.03</v>
      </c>
      <c r="G269" s="448"/>
      <c r="H269" s="448"/>
      <c r="I269" s="448"/>
      <c r="J269" s="448"/>
    </row>
    <row r="270" spans="1:10" ht="12.75">
      <c r="A270" s="449">
        <v>36510</v>
      </c>
      <c r="B270" s="448" t="s">
        <v>426</v>
      </c>
      <c r="C270" s="448" t="s">
        <v>272</v>
      </c>
      <c r="D270" s="451">
        <v>0.009</v>
      </c>
      <c r="E270" s="448" t="s">
        <v>198</v>
      </c>
      <c r="F270" s="451">
        <v>0.009</v>
      </c>
      <c r="G270" s="448"/>
      <c r="H270" s="448"/>
      <c r="I270" s="448"/>
      <c r="J270" s="448"/>
    </row>
    <row r="271" spans="1:10" ht="12.75">
      <c r="A271" s="449">
        <v>36566</v>
      </c>
      <c r="B271" s="448" t="s">
        <v>426</v>
      </c>
      <c r="C271" s="448" t="s">
        <v>272</v>
      </c>
      <c r="D271" s="451">
        <v>0.009</v>
      </c>
      <c r="E271" s="448" t="s">
        <v>198</v>
      </c>
      <c r="F271" s="451">
        <v>0.009</v>
      </c>
      <c r="G271" s="448"/>
      <c r="H271" s="448"/>
      <c r="I271" s="448"/>
      <c r="J271" s="448"/>
    </row>
    <row r="272" spans="1:10" ht="12.75">
      <c r="A272" s="449">
        <v>36685</v>
      </c>
      <c r="B272" s="448" t="s">
        <v>426</v>
      </c>
      <c r="C272" s="448" t="s">
        <v>272</v>
      </c>
      <c r="D272" s="451">
        <v>0.009</v>
      </c>
      <c r="E272" s="448" t="s">
        <v>198</v>
      </c>
      <c r="F272" s="451">
        <v>0.009</v>
      </c>
      <c r="G272" s="448"/>
      <c r="H272" s="448"/>
      <c r="I272" s="448"/>
      <c r="J272" s="448"/>
    </row>
    <row r="273" spans="1:10" ht="12.75">
      <c r="A273" s="449">
        <v>36875</v>
      </c>
      <c r="B273" s="448" t="s">
        <v>426</v>
      </c>
      <c r="C273" s="448" t="s">
        <v>272</v>
      </c>
      <c r="D273" s="450">
        <v>0.03</v>
      </c>
      <c r="E273" s="448" t="s">
        <v>198</v>
      </c>
      <c r="F273" s="450">
        <v>0.03</v>
      </c>
      <c r="G273" s="448"/>
      <c r="H273" s="448"/>
      <c r="I273" s="448"/>
      <c r="J273" s="448"/>
    </row>
    <row r="274" spans="1:10" ht="12.75">
      <c r="A274" s="449">
        <v>36959</v>
      </c>
      <c r="B274" s="448" t="s">
        <v>426</v>
      </c>
      <c r="C274" s="448" t="s">
        <v>272</v>
      </c>
      <c r="D274" s="450">
        <v>0.03</v>
      </c>
      <c r="E274" s="448" t="s">
        <v>198</v>
      </c>
      <c r="F274" s="450">
        <v>0.03</v>
      </c>
      <c r="G274" s="448"/>
      <c r="H274" s="448"/>
      <c r="I274" s="448"/>
      <c r="J274" s="448"/>
    </row>
    <row r="275" spans="1:10" ht="12.75">
      <c r="A275" s="449">
        <v>37027</v>
      </c>
      <c r="B275" s="448" t="s">
        <v>426</v>
      </c>
      <c r="C275" s="448" t="s">
        <v>272</v>
      </c>
      <c r="D275" s="450">
        <v>0.03</v>
      </c>
      <c r="E275" s="448" t="s">
        <v>198</v>
      </c>
      <c r="F275" s="450">
        <v>0.03</v>
      </c>
      <c r="G275" s="448"/>
      <c r="H275" s="448"/>
      <c r="I275" s="448"/>
      <c r="J275" s="448"/>
    </row>
    <row r="276" spans="1:10" ht="12.75">
      <c r="A276" s="449">
        <v>37119</v>
      </c>
      <c r="B276" s="448" t="s">
        <v>426</v>
      </c>
      <c r="C276" s="448" t="s">
        <v>272</v>
      </c>
      <c r="D276" s="450">
        <v>0.03</v>
      </c>
      <c r="E276" s="448" t="s">
        <v>198</v>
      </c>
      <c r="F276" s="450">
        <v>0.03</v>
      </c>
      <c r="G276" s="448"/>
      <c r="H276" s="448"/>
      <c r="I276" s="448"/>
      <c r="J276" s="448"/>
    </row>
    <row r="277" spans="1:10" ht="12.75">
      <c r="A277" s="449">
        <v>37243</v>
      </c>
      <c r="B277" s="448" t="s">
        <v>426</v>
      </c>
      <c r="C277" s="448" t="s">
        <v>272</v>
      </c>
      <c r="D277" s="450">
        <v>0.0291</v>
      </c>
      <c r="E277" s="448" t="s">
        <v>198</v>
      </c>
      <c r="F277" s="450">
        <v>0.0291</v>
      </c>
      <c r="G277" s="448"/>
      <c r="H277" s="448"/>
      <c r="I277" s="448"/>
      <c r="J277" s="448"/>
    </row>
    <row r="278" spans="1:10" ht="12.75">
      <c r="A278" s="449">
        <v>37332</v>
      </c>
      <c r="B278" s="448" t="s">
        <v>426</v>
      </c>
      <c r="C278" s="448" t="s">
        <v>272</v>
      </c>
      <c r="D278" s="450">
        <v>0.0291</v>
      </c>
      <c r="E278" s="448" t="s">
        <v>198</v>
      </c>
      <c r="F278" s="450">
        <v>0.0291</v>
      </c>
      <c r="G278" s="448"/>
      <c r="H278" s="448"/>
      <c r="I278" s="448"/>
      <c r="J278" s="448"/>
    </row>
    <row r="279" spans="1:10" ht="12.75">
      <c r="A279" s="449">
        <v>37416</v>
      </c>
      <c r="B279" s="448" t="s">
        <v>426</v>
      </c>
      <c r="C279" s="448" t="s">
        <v>272</v>
      </c>
      <c r="D279" s="450">
        <v>0.0291</v>
      </c>
      <c r="E279" s="448" t="s">
        <v>198</v>
      </c>
      <c r="F279" s="450">
        <v>0.0291</v>
      </c>
      <c r="G279" s="448"/>
      <c r="H279" s="448"/>
      <c r="I279" s="448"/>
      <c r="J279" s="448"/>
    </row>
    <row r="280" spans="1:10" ht="12.75">
      <c r="A280" s="449">
        <v>37521</v>
      </c>
      <c r="B280" s="448" t="s">
        <v>426</v>
      </c>
      <c r="C280" s="448" t="s">
        <v>272</v>
      </c>
      <c r="D280" s="450">
        <v>0.0291</v>
      </c>
      <c r="E280" s="448" t="s">
        <v>198</v>
      </c>
      <c r="F280" s="450">
        <v>0.0291</v>
      </c>
      <c r="G280" s="448"/>
      <c r="H280" s="448"/>
      <c r="I280" s="448"/>
      <c r="J280" s="448"/>
    </row>
    <row r="281" spans="1:10" ht="12.75">
      <c r="A281" s="449">
        <v>37591</v>
      </c>
      <c r="B281" s="448" t="s">
        <v>426</v>
      </c>
      <c r="C281" s="448" t="s">
        <v>272</v>
      </c>
      <c r="D281" s="448">
        <v>0.06</v>
      </c>
      <c r="E281" s="448" t="s">
        <v>198</v>
      </c>
      <c r="F281" s="450">
        <v>0.06</v>
      </c>
      <c r="G281" s="448"/>
      <c r="H281" s="448"/>
      <c r="I281" s="448"/>
      <c r="J281" s="448"/>
    </row>
    <row r="282" spans="1:10" ht="12.75">
      <c r="A282" s="449">
        <v>37671</v>
      </c>
      <c r="B282" s="448" t="s">
        <v>426</v>
      </c>
      <c r="C282" s="448" t="s">
        <v>272</v>
      </c>
      <c r="D282" s="448">
        <v>0.06</v>
      </c>
      <c r="E282" s="448" t="s">
        <v>198</v>
      </c>
      <c r="F282" s="450">
        <v>0.06</v>
      </c>
      <c r="G282" s="448"/>
      <c r="H282" s="448" t="s">
        <v>272</v>
      </c>
      <c r="I282" s="451">
        <v>0.009</v>
      </c>
      <c r="J282" s="448" t="s">
        <v>198</v>
      </c>
    </row>
    <row r="283" spans="1:10" ht="12.75">
      <c r="A283" s="449">
        <v>35806</v>
      </c>
      <c r="B283" s="448" t="s">
        <v>427</v>
      </c>
      <c r="C283" s="448"/>
      <c r="D283" s="446">
        <v>0.155</v>
      </c>
      <c r="E283" s="448" t="s">
        <v>198</v>
      </c>
      <c r="F283" s="451">
        <v>0.18</v>
      </c>
      <c r="G283" s="448"/>
      <c r="H283" s="448"/>
      <c r="I283" s="448"/>
      <c r="J283" s="448"/>
    </row>
    <row r="284" spans="1:10" ht="12.75">
      <c r="A284" s="449">
        <v>35899</v>
      </c>
      <c r="B284" s="448" t="s">
        <v>427</v>
      </c>
      <c r="C284" s="448" t="s">
        <v>272</v>
      </c>
      <c r="D284" s="451">
        <v>0.18</v>
      </c>
      <c r="E284" s="448" t="s">
        <v>198</v>
      </c>
      <c r="F284" s="451">
        <v>0.18</v>
      </c>
      <c r="G284" s="451"/>
      <c r="H284" s="448"/>
      <c r="I284" s="448"/>
      <c r="J284" s="448"/>
    </row>
    <row r="285" spans="1:10" ht="12.75">
      <c r="A285" s="449">
        <v>35929</v>
      </c>
      <c r="B285" s="448" t="s">
        <v>427</v>
      </c>
      <c r="C285" s="448" t="s">
        <v>272</v>
      </c>
      <c r="D285" s="451">
        <v>0.18</v>
      </c>
      <c r="E285" s="448" t="s">
        <v>198</v>
      </c>
      <c r="F285" s="451">
        <v>0.18</v>
      </c>
      <c r="G285" s="448"/>
      <c r="H285" s="448"/>
      <c r="I285" s="448"/>
      <c r="J285" s="448"/>
    </row>
    <row r="286" spans="1:10" ht="12.75">
      <c r="A286" s="449">
        <v>36081</v>
      </c>
      <c r="B286" s="448" t="s">
        <v>427</v>
      </c>
      <c r="C286" s="448" t="s">
        <v>272</v>
      </c>
      <c r="D286" s="451">
        <v>0.257</v>
      </c>
      <c r="E286" s="448" t="s">
        <v>198</v>
      </c>
      <c r="F286" s="451">
        <v>0.257</v>
      </c>
      <c r="G286" s="448"/>
      <c r="H286" s="448"/>
      <c r="I286" s="448"/>
      <c r="J286" s="448"/>
    </row>
    <row r="287" spans="1:10" ht="12.75">
      <c r="A287" s="449">
        <v>36171</v>
      </c>
      <c r="B287" s="448" t="s">
        <v>427</v>
      </c>
      <c r="C287" s="448" t="s">
        <v>272</v>
      </c>
      <c r="D287" s="450">
        <v>0.38</v>
      </c>
      <c r="E287" s="448" t="s">
        <v>198</v>
      </c>
      <c r="F287" s="450">
        <v>0.38</v>
      </c>
      <c r="G287" s="448"/>
      <c r="H287" s="448"/>
      <c r="I287" s="448"/>
      <c r="J287" s="448"/>
    </row>
    <row r="288" spans="1:10" ht="12.75">
      <c r="A288" s="449">
        <v>36264</v>
      </c>
      <c r="B288" s="448" t="s">
        <v>427</v>
      </c>
      <c r="C288" s="448" t="s">
        <v>272</v>
      </c>
      <c r="D288" s="450">
        <v>0.38</v>
      </c>
      <c r="E288" s="448" t="s">
        <v>198</v>
      </c>
      <c r="F288" s="450">
        <v>0.38</v>
      </c>
      <c r="G288" s="448"/>
      <c r="H288" s="448"/>
      <c r="I288" s="448"/>
      <c r="J288" s="448"/>
    </row>
    <row r="289" spans="1:10" ht="12.75">
      <c r="A289" s="449">
        <v>36355</v>
      </c>
      <c r="B289" s="448" t="s">
        <v>427</v>
      </c>
      <c r="C289" s="448" t="s">
        <v>272</v>
      </c>
      <c r="D289" s="450">
        <v>0.38</v>
      </c>
      <c r="E289" s="448" t="s">
        <v>198</v>
      </c>
      <c r="F289" s="450">
        <v>0.38</v>
      </c>
      <c r="G289" s="448"/>
      <c r="H289" s="448"/>
      <c r="I289" s="448"/>
      <c r="J289" s="448"/>
    </row>
    <row r="290" spans="1:10" ht="12.75">
      <c r="A290" s="449">
        <v>36510</v>
      </c>
      <c r="B290" s="448" t="s">
        <v>427</v>
      </c>
      <c r="C290" s="448" t="s">
        <v>272</v>
      </c>
      <c r="D290" s="451">
        <v>0.179</v>
      </c>
      <c r="E290" s="448" t="s">
        <v>198</v>
      </c>
      <c r="F290" s="451">
        <v>0.179</v>
      </c>
      <c r="G290" s="448"/>
      <c r="H290" s="448"/>
      <c r="I290" s="448"/>
      <c r="J290" s="448"/>
    </row>
    <row r="291" spans="1:10" ht="12.75">
      <c r="A291" s="449">
        <v>36566</v>
      </c>
      <c r="B291" s="448" t="s">
        <v>427</v>
      </c>
      <c r="C291" s="448" t="s">
        <v>272</v>
      </c>
      <c r="D291" s="451">
        <v>0.179</v>
      </c>
      <c r="E291" s="448" t="s">
        <v>198</v>
      </c>
      <c r="F291" s="451">
        <v>0.179</v>
      </c>
      <c r="G291" s="448"/>
      <c r="H291" s="448"/>
      <c r="I291" s="448"/>
      <c r="J291" s="448"/>
    </row>
    <row r="292" spans="1:10" ht="12.75">
      <c r="A292" s="449">
        <v>36685</v>
      </c>
      <c r="B292" s="448" t="s">
        <v>427</v>
      </c>
      <c r="C292" s="448" t="s">
        <v>272</v>
      </c>
      <c r="D292" s="451">
        <v>0.179</v>
      </c>
      <c r="E292" s="448" t="s">
        <v>198</v>
      </c>
      <c r="F292" s="451">
        <v>0.179</v>
      </c>
      <c r="G292" s="448"/>
      <c r="H292" s="448"/>
      <c r="I292" s="448"/>
      <c r="J292" s="448"/>
    </row>
    <row r="293" spans="1:10" ht="12.75">
      <c r="A293" s="449">
        <v>36875</v>
      </c>
      <c r="B293" s="448" t="s">
        <v>427</v>
      </c>
      <c r="C293" s="448" t="s">
        <v>272</v>
      </c>
      <c r="D293" s="450">
        <v>0.38</v>
      </c>
      <c r="E293" s="448" t="s">
        <v>198</v>
      </c>
      <c r="F293" s="450">
        <v>0.38</v>
      </c>
      <c r="G293" s="448"/>
      <c r="H293" s="448"/>
      <c r="I293" s="448"/>
      <c r="J293" s="448"/>
    </row>
    <row r="294" spans="1:10" ht="12.75">
      <c r="A294" s="449">
        <v>36959</v>
      </c>
      <c r="B294" s="448" t="s">
        <v>427</v>
      </c>
      <c r="C294" s="448" t="s">
        <v>272</v>
      </c>
      <c r="D294" s="450">
        <v>0.38</v>
      </c>
      <c r="E294" s="448" t="s">
        <v>198</v>
      </c>
      <c r="F294" s="450">
        <v>0.38</v>
      </c>
      <c r="G294" s="448"/>
      <c r="H294" s="448"/>
      <c r="I294" s="448"/>
      <c r="J294" s="448"/>
    </row>
    <row r="295" spans="1:10" ht="12.75">
      <c r="A295" s="449">
        <v>37027</v>
      </c>
      <c r="B295" s="448" t="s">
        <v>427</v>
      </c>
      <c r="C295" s="448" t="s">
        <v>272</v>
      </c>
      <c r="D295" s="450">
        <v>0.38</v>
      </c>
      <c r="E295" s="448" t="s">
        <v>198</v>
      </c>
      <c r="F295" s="450">
        <v>0.38</v>
      </c>
      <c r="G295" s="448"/>
      <c r="H295" s="448"/>
      <c r="I295" s="448"/>
      <c r="J295" s="448"/>
    </row>
    <row r="296" spans="1:10" ht="12.75">
      <c r="A296" s="449">
        <v>37119</v>
      </c>
      <c r="B296" s="448" t="s">
        <v>427</v>
      </c>
      <c r="C296" s="448" t="s">
        <v>272</v>
      </c>
      <c r="D296" s="448">
        <v>0.51</v>
      </c>
      <c r="E296" s="448" t="s">
        <v>198</v>
      </c>
      <c r="F296" s="451">
        <v>0.51</v>
      </c>
      <c r="G296" s="448"/>
      <c r="H296" s="448"/>
      <c r="I296" s="448"/>
      <c r="J296" s="448"/>
    </row>
    <row r="297" spans="1:10" ht="12.75">
      <c r="A297" s="449">
        <v>37243</v>
      </c>
      <c r="B297" s="448" t="s">
        <v>427</v>
      </c>
      <c r="C297" s="448" t="s">
        <v>272</v>
      </c>
      <c r="D297" s="448">
        <v>0.51</v>
      </c>
      <c r="E297" s="448" t="s">
        <v>198</v>
      </c>
      <c r="F297" s="451">
        <v>0.51</v>
      </c>
      <c r="G297" s="448"/>
      <c r="H297" s="448"/>
      <c r="I297" s="448"/>
      <c r="J297" s="448"/>
    </row>
    <row r="298" spans="1:10" ht="12.75">
      <c r="A298" s="449">
        <v>37332</v>
      </c>
      <c r="B298" s="448" t="s">
        <v>427</v>
      </c>
      <c r="C298" s="448" t="s">
        <v>272</v>
      </c>
      <c r="D298" s="450">
        <v>0.51</v>
      </c>
      <c r="E298" s="448" t="s">
        <v>198</v>
      </c>
      <c r="F298" s="450">
        <v>0.51</v>
      </c>
      <c r="G298" s="448"/>
      <c r="H298" s="448"/>
      <c r="I298" s="448"/>
      <c r="J298" s="448"/>
    </row>
    <row r="299" spans="1:10" ht="12.75">
      <c r="A299" s="449">
        <v>37416</v>
      </c>
      <c r="B299" s="448" t="s">
        <v>427</v>
      </c>
      <c r="C299" s="448" t="s">
        <v>272</v>
      </c>
      <c r="D299" s="450">
        <v>0.51</v>
      </c>
      <c r="E299" s="448" t="s">
        <v>198</v>
      </c>
      <c r="F299" s="450">
        <v>0.51</v>
      </c>
      <c r="G299" s="450"/>
      <c r="H299" s="448"/>
      <c r="I299" s="448"/>
      <c r="J299" s="448"/>
    </row>
    <row r="300" spans="1:10" ht="12.75">
      <c r="A300" s="449">
        <v>37521</v>
      </c>
      <c r="B300" s="448" t="s">
        <v>427</v>
      </c>
      <c r="C300" s="448"/>
      <c r="D300" s="446">
        <v>0.095</v>
      </c>
      <c r="E300" s="448" t="s">
        <v>198</v>
      </c>
      <c r="F300" s="450">
        <v>0.51</v>
      </c>
      <c r="G300" s="450"/>
      <c r="H300" s="448"/>
      <c r="I300" s="448"/>
      <c r="J300" s="448"/>
    </row>
    <row r="301" spans="1:10" ht="12.75">
      <c r="A301" s="449">
        <v>37591</v>
      </c>
      <c r="B301" s="448" t="s">
        <v>427</v>
      </c>
      <c r="C301" s="448" t="s">
        <v>272</v>
      </c>
      <c r="D301" s="448">
        <v>0.11</v>
      </c>
      <c r="E301" s="448" t="s">
        <v>198</v>
      </c>
      <c r="F301" s="450">
        <v>0.11</v>
      </c>
      <c r="G301" s="448"/>
      <c r="H301" s="448"/>
      <c r="I301" s="448"/>
      <c r="J301" s="448"/>
    </row>
    <row r="302" spans="1:10" ht="12.75">
      <c r="A302" s="449">
        <v>37671</v>
      </c>
      <c r="B302" s="448" t="s">
        <v>427</v>
      </c>
      <c r="C302" s="448" t="s">
        <v>272</v>
      </c>
      <c r="D302" s="448">
        <v>0.11</v>
      </c>
      <c r="E302" s="448" t="s">
        <v>198</v>
      </c>
      <c r="F302" s="450">
        <v>0.11</v>
      </c>
      <c r="G302" s="448"/>
      <c r="H302" s="448"/>
      <c r="I302" s="446">
        <v>0.155</v>
      </c>
      <c r="J302" s="448" t="s">
        <v>198</v>
      </c>
    </row>
    <row r="303" ht="12.75">
      <c r="A303" s="266"/>
    </row>
    <row r="304" ht="12.75">
      <c r="A304" s="266"/>
    </row>
    <row r="305" ht="12.75">
      <c r="A305" s="266"/>
    </row>
    <row r="306" ht="12.75">
      <c r="A306" s="266"/>
    </row>
    <row r="307" spans="1:4" ht="12.75">
      <c r="A307" s="266"/>
      <c r="D307" s="267"/>
    </row>
    <row r="308" ht="12.75">
      <c r="A308" s="266"/>
    </row>
    <row r="309" ht="12.75">
      <c r="A309" s="266"/>
    </row>
  </sheetData>
  <mergeCells count="1">
    <mergeCell ref="H1:J1"/>
  </mergeCells>
  <printOptions gridLines="1" horizontalCentered="1"/>
  <pageMargins left="0.75" right="0.49" top="1" bottom="1" header="0.5" footer="0.5"/>
  <pageSetup fitToHeight="4" fitToWidth="1" horizontalDpi="600" verticalDpi="600" orientation="portrait" scale="64" r:id="rId1"/>
  <headerFooter alignWithMargins="0">
    <oddHeader>&amp;CPAH Effluent Data
U.S. Navy, Naval Support - Treasure Island</oddHeader>
    <oddFooter>&amp;C&amp;P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C8" sqref="C8"/>
    </sheetView>
  </sheetViews>
  <sheetFormatPr defaultColWidth="9.140625" defaultRowHeight="12.75"/>
  <cols>
    <col min="1" max="1" width="10.57421875" style="312" customWidth="1"/>
    <col min="2" max="2" width="15.8515625" style="312" bestFit="1" customWidth="1"/>
    <col min="3" max="3" width="14.28125" style="312" bestFit="1" customWidth="1"/>
    <col min="4" max="4" width="9.421875" style="312" bestFit="1" customWidth="1"/>
    <col min="5" max="5" width="6.00390625" style="312" bestFit="1" customWidth="1"/>
    <col min="6" max="7" width="5.57421875" style="312" customWidth="1"/>
    <col min="8" max="8" width="3.7109375" style="312" bestFit="1" customWidth="1"/>
    <col min="9" max="9" width="3.57421875" style="312" bestFit="1" customWidth="1"/>
    <col min="10" max="10" width="4.140625" style="312" bestFit="1" customWidth="1"/>
    <col min="11" max="11" width="7.8515625" style="312" bestFit="1" customWidth="1"/>
    <col min="12" max="12" width="5.57421875" style="312" bestFit="1" customWidth="1"/>
    <col min="13" max="13" width="10.140625" style="312" bestFit="1" customWidth="1"/>
    <col min="14" max="16" width="10.57421875" style="312" customWidth="1"/>
    <col min="17" max="16384" width="8.140625" style="300" customWidth="1"/>
  </cols>
  <sheetData>
    <row r="1" ht="12.75">
      <c r="A1" s="311" t="s">
        <v>511</v>
      </c>
    </row>
    <row r="2" ht="12.75">
      <c r="A2" s="312" t="s">
        <v>512</v>
      </c>
    </row>
    <row r="3" spans="1:13" ht="12.75">
      <c r="A3" s="313" t="s">
        <v>404</v>
      </c>
      <c r="B3" s="313" t="s">
        <v>405</v>
      </c>
      <c r="C3" s="313" t="s">
        <v>407</v>
      </c>
      <c r="D3" s="313" t="s">
        <v>406</v>
      </c>
      <c r="E3" s="313" t="s">
        <v>408</v>
      </c>
      <c r="F3" s="313" t="s">
        <v>409</v>
      </c>
      <c r="G3" s="313" t="s">
        <v>513</v>
      </c>
      <c r="H3" s="313" t="s">
        <v>308</v>
      </c>
      <c r="I3" s="313" t="s">
        <v>514</v>
      </c>
      <c r="J3" s="313" t="s">
        <v>410</v>
      </c>
      <c r="K3" s="314" t="s">
        <v>515</v>
      </c>
      <c r="L3" s="313" t="s">
        <v>516</v>
      </c>
      <c r="M3" s="313" t="s">
        <v>517</v>
      </c>
    </row>
    <row r="4" spans="1:13" ht="12.75">
      <c r="A4" s="313">
        <v>2302210091</v>
      </c>
      <c r="B4" s="313" t="s">
        <v>518</v>
      </c>
      <c r="C4" s="313" t="s">
        <v>519</v>
      </c>
      <c r="D4" s="315">
        <v>37671</v>
      </c>
      <c r="E4" s="313" t="s">
        <v>272</v>
      </c>
      <c r="F4" s="313">
        <v>0.95</v>
      </c>
      <c r="G4" s="313">
        <v>0.95</v>
      </c>
      <c r="H4" s="313"/>
      <c r="I4" s="313"/>
      <c r="J4" s="313" t="s">
        <v>501</v>
      </c>
      <c r="K4" s="313" t="s">
        <v>520</v>
      </c>
      <c r="L4" s="313">
        <v>1613</v>
      </c>
      <c r="M4" s="313">
        <v>1</v>
      </c>
    </row>
    <row r="5" spans="1:13" ht="12.75">
      <c r="A5" s="313">
        <v>2302210091</v>
      </c>
      <c r="B5" s="313" t="s">
        <v>518</v>
      </c>
      <c r="C5" s="313" t="s">
        <v>521</v>
      </c>
      <c r="D5" s="315">
        <v>37671</v>
      </c>
      <c r="E5" s="313" t="s">
        <v>272</v>
      </c>
      <c r="F5" s="313">
        <v>1.6</v>
      </c>
      <c r="G5" s="313">
        <v>1.6</v>
      </c>
      <c r="H5" s="313"/>
      <c r="I5" s="313"/>
      <c r="J5" s="313" t="s">
        <v>501</v>
      </c>
      <c r="K5" s="313" t="s">
        <v>522</v>
      </c>
      <c r="L5" s="313">
        <v>1613</v>
      </c>
      <c r="M5" s="313">
        <v>1</v>
      </c>
    </row>
    <row r="6" spans="1:13" ht="12.75">
      <c r="A6" s="313">
        <v>2302210091</v>
      </c>
      <c r="B6" s="313" t="s">
        <v>518</v>
      </c>
      <c r="C6" s="313" t="s">
        <v>523</v>
      </c>
      <c r="D6" s="315">
        <v>37671</v>
      </c>
      <c r="E6" s="313" t="s">
        <v>272</v>
      </c>
      <c r="F6" s="313">
        <v>1.3</v>
      </c>
      <c r="G6" s="313">
        <v>1.3</v>
      </c>
      <c r="H6" s="313"/>
      <c r="I6" s="313"/>
      <c r="J6" s="313" t="s">
        <v>501</v>
      </c>
      <c r="K6" s="313" t="s">
        <v>524</v>
      </c>
      <c r="L6" s="313">
        <v>1613</v>
      </c>
      <c r="M6" s="313">
        <v>1</v>
      </c>
    </row>
    <row r="7" spans="1:13" ht="12.75">
      <c r="A7" s="313">
        <v>2302210091</v>
      </c>
      <c r="B7" s="313" t="s">
        <v>518</v>
      </c>
      <c r="C7" s="313" t="s">
        <v>525</v>
      </c>
      <c r="D7" s="315">
        <v>37671</v>
      </c>
      <c r="E7" s="313" t="s">
        <v>272</v>
      </c>
      <c r="F7" s="313">
        <v>1.4</v>
      </c>
      <c r="G7" s="313">
        <v>1.4</v>
      </c>
      <c r="H7" s="313"/>
      <c r="I7" s="313"/>
      <c r="J7" s="313" t="s">
        <v>501</v>
      </c>
      <c r="K7" s="313" t="s">
        <v>526</v>
      </c>
      <c r="L7" s="313">
        <v>1613</v>
      </c>
      <c r="M7" s="313">
        <v>1</v>
      </c>
    </row>
    <row r="8" spans="1:13" ht="12.75">
      <c r="A8" s="313">
        <v>2302210091</v>
      </c>
      <c r="B8" s="313" t="s">
        <v>518</v>
      </c>
      <c r="C8" s="313" t="s">
        <v>527</v>
      </c>
      <c r="D8" s="315">
        <v>37671</v>
      </c>
      <c r="E8" s="313" t="s">
        <v>272</v>
      </c>
      <c r="F8" s="313">
        <v>1.3</v>
      </c>
      <c r="G8" s="313">
        <v>1.3</v>
      </c>
      <c r="H8" s="313"/>
      <c r="I8" s="313"/>
      <c r="J8" s="313" t="s">
        <v>501</v>
      </c>
      <c r="K8" s="313" t="s">
        <v>522</v>
      </c>
      <c r="L8" s="313">
        <v>1613</v>
      </c>
      <c r="M8" s="313">
        <v>1</v>
      </c>
    </row>
    <row r="9" spans="1:13" ht="12.75">
      <c r="A9" s="313">
        <v>2302210091</v>
      </c>
      <c r="B9" s="313" t="s">
        <v>518</v>
      </c>
      <c r="C9" s="313" t="s">
        <v>528</v>
      </c>
      <c r="D9" s="315">
        <v>37671</v>
      </c>
      <c r="E9" s="313" t="s">
        <v>272</v>
      </c>
      <c r="F9" s="313">
        <v>2.8</v>
      </c>
      <c r="G9" s="313">
        <v>2.8</v>
      </c>
      <c r="H9" s="313"/>
      <c r="I9" s="313"/>
      <c r="J9" s="313" t="s">
        <v>501</v>
      </c>
      <c r="K9" s="313" t="s">
        <v>529</v>
      </c>
      <c r="L9" s="313">
        <v>1613</v>
      </c>
      <c r="M9" s="313">
        <v>1</v>
      </c>
    </row>
    <row r="10" spans="1:13" ht="12.75">
      <c r="A10" s="313">
        <v>2302210091</v>
      </c>
      <c r="B10" s="313" t="s">
        <v>518</v>
      </c>
      <c r="C10" s="313" t="s">
        <v>530</v>
      </c>
      <c r="D10" s="315">
        <v>37671</v>
      </c>
      <c r="E10" s="313" t="s">
        <v>272</v>
      </c>
      <c r="F10" s="313">
        <v>23</v>
      </c>
      <c r="G10" s="313">
        <v>23</v>
      </c>
      <c r="H10" s="313"/>
      <c r="I10" s="313"/>
      <c r="J10" s="313" t="s">
        <v>501</v>
      </c>
      <c r="K10" s="313" t="s">
        <v>531</v>
      </c>
      <c r="L10" s="313">
        <v>1613</v>
      </c>
      <c r="M10" s="313">
        <v>1</v>
      </c>
    </row>
    <row r="11" spans="1:13" ht="12.75">
      <c r="A11" s="313">
        <v>2302210091</v>
      </c>
      <c r="B11" s="313" t="s">
        <v>518</v>
      </c>
      <c r="C11" s="313" t="s">
        <v>532</v>
      </c>
      <c r="D11" s="315">
        <v>37671</v>
      </c>
      <c r="E11" s="313" t="s">
        <v>272</v>
      </c>
      <c r="F11" s="313">
        <v>1.9</v>
      </c>
      <c r="G11" s="313">
        <v>1.9</v>
      </c>
      <c r="H11" s="313"/>
      <c r="I11" s="313"/>
      <c r="J11" s="313" t="s">
        <v>501</v>
      </c>
      <c r="K11" s="313" t="s">
        <v>520</v>
      </c>
      <c r="L11" s="313">
        <v>1613</v>
      </c>
      <c r="M11" s="313">
        <v>1</v>
      </c>
    </row>
    <row r="12" spans="1:13" ht="12.75">
      <c r="A12" s="313">
        <v>2302210091</v>
      </c>
      <c r="B12" s="313" t="s">
        <v>518</v>
      </c>
      <c r="C12" s="313" t="s">
        <v>533</v>
      </c>
      <c r="D12" s="315">
        <v>37671</v>
      </c>
      <c r="E12" s="313" t="s">
        <v>272</v>
      </c>
      <c r="F12" s="313">
        <v>1</v>
      </c>
      <c r="G12" s="313">
        <v>1</v>
      </c>
      <c r="H12" s="313"/>
      <c r="I12" s="313"/>
      <c r="J12" s="313" t="s">
        <v>501</v>
      </c>
      <c r="K12" s="313" t="s">
        <v>522</v>
      </c>
      <c r="L12" s="313">
        <v>1613</v>
      </c>
      <c r="M12" s="313">
        <v>1</v>
      </c>
    </row>
    <row r="13" spans="1:13" ht="12.75">
      <c r="A13" s="313">
        <v>2302210091</v>
      </c>
      <c r="B13" s="313" t="s">
        <v>518</v>
      </c>
      <c r="C13" s="313" t="s">
        <v>534</v>
      </c>
      <c r="D13" s="315">
        <v>37671</v>
      </c>
      <c r="E13" s="313" t="s">
        <v>272</v>
      </c>
      <c r="F13" s="313">
        <v>1</v>
      </c>
      <c r="G13" s="313">
        <v>1</v>
      </c>
      <c r="H13" s="313"/>
      <c r="I13" s="313"/>
      <c r="J13" s="313" t="s">
        <v>501</v>
      </c>
      <c r="K13" s="313" t="s">
        <v>535</v>
      </c>
      <c r="L13" s="313">
        <v>1613</v>
      </c>
      <c r="M13" s="313">
        <v>1</v>
      </c>
    </row>
    <row r="14" spans="1:13" ht="12.75">
      <c r="A14" s="313">
        <v>2302210091</v>
      </c>
      <c r="B14" s="313" t="s">
        <v>518</v>
      </c>
      <c r="C14" s="313" t="s">
        <v>536</v>
      </c>
      <c r="D14" s="315">
        <v>37671</v>
      </c>
      <c r="E14" s="313" t="s">
        <v>272</v>
      </c>
      <c r="F14" s="313">
        <v>1</v>
      </c>
      <c r="G14" s="313">
        <v>1</v>
      </c>
      <c r="H14" s="313"/>
      <c r="I14" s="313"/>
      <c r="J14" s="313" t="s">
        <v>501</v>
      </c>
      <c r="K14" s="313" t="s">
        <v>524</v>
      </c>
      <c r="L14" s="313">
        <v>1613</v>
      </c>
      <c r="M14" s="313">
        <v>1</v>
      </c>
    </row>
    <row r="15" spans="1:13" ht="12.75">
      <c r="A15" s="313">
        <v>2302210091</v>
      </c>
      <c r="B15" s="313" t="s">
        <v>518</v>
      </c>
      <c r="C15" s="313" t="s">
        <v>537</v>
      </c>
      <c r="D15" s="315">
        <v>37671</v>
      </c>
      <c r="E15" s="313" t="s">
        <v>272</v>
      </c>
      <c r="F15" s="313">
        <v>1.1</v>
      </c>
      <c r="G15" s="313">
        <v>1.1</v>
      </c>
      <c r="H15" s="313"/>
      <c r="I15" s="313"/>
      <c r="J15" s="313" t="s">
        <v>501</v>
      </c>
      <c r="K15" s="313" t="s">
        <v>526</v>
      </c>
      <c r="L15" s="313">
        <v>1613</v>
      </c>
      <c r="M15" s="313">
        <v>1</v>
      </c>
    </row>
    <row r="16" spans="1:13" ht="12.75">
      <c r="A16" s="313">
        <v>2302210091</v>
      </c>
      <c r="B16" s="313" t="s">
        <v>518</v>
      </c>
      <c r="C16" s="313" t="s">
        <v>538</v>
      </c>
      <c r="D16" s="315">
        <v>37671</v>
      </c>
      <c r="E16" s="313" t="s">
        <v>272</v>
      </c>
      <c r="F16" s="313">
        <v>0.76</v>
      </c>
      <c r="G16" s="313">
        <v>0.76</v>
      </c>
      <c r="H16" s="313"/>
      <c r="I16" s="313"/>
      <c r="J16" s="313" t="s">
        <v>501</v>
      </c>
      <c r="K16" s="313" t="s">
        <v>539</v>
      </c>
      <c r="L16" s="313">
        <v>1613</v>
      </c>
      <c r="M16" s="313">
        <v>1</v>
      </c>
    </row>
    <row r="17" spans="1:13" ht="12.75">
      <c r="A17" s="313">
        <v>2302210091</v>
      </c>
      <c r="B17" s="313" t="s">
        <v>518</v>
      </c>
      <c r="C17" s="313" t="s">
        <v>540</v>
      </c>
      <c r="D17" s="315">
        <v>37671</v>
      </c>
      <c r="E17" s="313" t="s">
        <v>272</v>
      </c>
      <c r="F17" s="313">
        <v>0.77</v>
      </c>
      <c r="G17" s="313">
        <v>0.77</v>
      </c>
      <c r="H17" s="313"/>
      <c r="I17" s="313"/>
      <c r="J17" s="313" t="s">
        <v>501</v>
      </c>
      <c r="K17" s="313" t="s">
        <v>522</v>
      </c>
      <c r="L17" s="313">
        <v>1613</v>
      </c>
      <c r="M17" s="313">
        <v>1</v>
      </c>
    </row>
    <row r="18" spans="1:13" ht="12.75">
      <c r="A18" s="313">
        <v>2302210091</v>
      </c>
      <c r="B18" s="313" t="s">
        <v>518</v>
      </c>
      <c r="C18" s="313" t="s">
        <v>541</v>
      </c>
      <c r="D18" s="315">
        <v>37671</v>
      </c>
      <c r="E18" s="313" t="s">
        <v>272</v>
      </c>
      <c r="F18" s="313">
        <v>2.9</v>
      </c>
      <c r="G18" s="313">
        <v>2.9</v>
      </c>
      <c r="H18" s="313"/>
      <c r="I18" s="313"/>
      <c r="J18" s="313" t="s">
        <v>501</v>
      </c>
      <c r="K18" s="313" t="s">
        <v>529</v>
      </c>
      <c r="L18" s="313">
        <v>1613</v>
      </c>
      <c r="M18" s="313">
        <v>1</v>
      </c>
    </row>
    <row r="19" spans="1:13" ht="12.75">
      <c r="A19" s="313">
        <v>2302210091</v>
      </c>
      <c r="B19" s="313" t="s">
        <v>518</v>
      </c>
      <c r="C19" s="313" t="s">
        <v>542</v>
      </c>
      <c r="D19" s="315">
        <v>37671</v>
      </c>
      <c r="E19" s="313" t="s">
        <v>272</v>
      </c>
      <c r="F19" s="313">
        <v>1.2</v>
      </c>
      <c r="G19" s="313">
        <v>1.2</v>
      </c>
      <c r="H19" s="313"/>
      <c r="I19" s="313"/>
      <c r="J19" s="313" t="s">
        <v>501</v>
      </c>
      <c r="K19" s="313" t="s">
        <v>543</v>
      </c>
      <c r="L19" s="313">
        <v>1613</v>
      </c>
      <c r="M19" s="313">
        <v>1</v>
      </c>
    </row>
    <row r="20" spans="1:13" ht="12.75">
      <c r="A20" s="313">
        <v>2302210091</v>
      </c>
      <c r="B20" s="313" t="s">
        <v>518</v>
      </c>
      <c r="C20" s="313" t="s">
        <v>544</v>
      </c>
      <c r="D20" s="315">
        <v>37671</v>
      </c>
      <c r="E20" s="313" t="s">
        <v>272</v>
      </c>
      <c r="F20" s="313">
        <v>5.3</v>
      </c>
      <c r="G20" s="313">
        <v>5.3</v>
      </c>
      <c r="H20" s="313"/>
      <c r="I20" s="313"/>
      <c r="J20" s="313" t="s">
        <v>501</v>
      </c>
      <c r="K20" s="313" t="s">
        <v>531</v>
      </c>
      <c r="L20" s="313">
        <v>1613</v>
      </c>
      <c r="M20" s="313">
        <v>1</v>
      </c>
    </row>
    <row r="21" spans="1:13" ht="12.75">
      <c r="A21" s="313"/>
      <c r="B21" s="313"/>
      <c r="C21" s="313" t="s">
        <v>545</v>
      </c>
      <c r="D21" s="313"/>
      <c r="E21" s="313"/>
      <c r="F21" s="313">
        <v>0</v>
      </c>
      <c r="G21" s="313"/>
      <c r="H21" s="313"/>
      <c r="I21" s="313"/>
      <c r="J21" s="313" t="s">
        <v>501</v>
      </c>
      <c r="K21" s="313" t="s">
        <v>546</v>
      </c>
      <c r="L21" s="313">
        <v>1613</v>
      </c>
      <c r="M21" s="313"/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Footer>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pane xSplit="3" ySplit="2" topLeftCell="H7" activePane="bottomRight" state="frozen"/>
      <selection pane="topLeft" activeCell="A1" sqref="A1"/>
      <selection pane="topRight" activeCell="D1" sqref="D1"/>
      <selection pane="bottomLeft" activeCell="A3" sqref="A3"/>
      <selection pane="bottomRight" activeCell="P29" sqref="P29"/>
    </sheetView>
  </sheetViews>
  <sheetFormatPr defaultColWidth="9.140625" defaultRowHeight="12.75"/>
  <cols>
    <col min="1" max="1" width="6.7109375" style="89" customWidth="1"/>
    <col min="2" max="2" width="14.8515625" style="89" bestFit="1" customWidth="1"/>
    <col min="3" max="3" width="7.8515625" style="89" bestFit="1" customWidth="1"/>
    <col min="4" max="17" width="6.7109375" style="89" customWidth="1"/>
    <col min="18" max="36" width="8.8515625" style="89" customWidth="1"/>
  </cols>
  <sheetData>
    <row r="1" spans="1:17" ht="12.75">
      <c r="A1" s="75" t="s">
        <v>443</v>
      </c>
      <c r="B1" s="75" t="s">
        <v>336</v>
      </c>
      <c r="C1" s="75" t="s">
        <v>287</v>
      </c>
      <c r="D1" s="75" t="s">
        <v>337</v>
      </c>
      <c r="E1" s="75" t="s">
        <v>295</v>
      </c>
      <c r="F1" s="75" t="s">
        <v>338</v>
      </c>
      <c r="G1" s="75" t="s">
        <v>444</v>
      </c>
      <c r="H1" s="75" t="s">
        <v>339</v>
      </c>
      <c r="I1" s="75" t="s">
        <v>340</v>
      </c>
      <c r="J1" s="75" t="s">
        <v>445</v>
      </c>
      <c r="K1" s="75" t="s">
        <v>301</v>
      </c>
      <c r="L1" s="75" t="s">
        <v>446</v>
      </c>
      <c r="M1" s="75" t="s">
        <v>447</v>
      </c>
      <c r="N1" s="75" t="s">
        <v>341</v>
      </c>
      <c r="O1" s="75" t="s">
        <v>342</v>
      </c>
      <c r="P1" s="75" t="s">
        <v>303</v>
      </c>
      <c r="Q1" s="75" t="s">
        <v>343</v>
      </c>
    </row>
    <row r="2" spans="1:17" ht="12.75">
      <c r="A2" s="75" t="s">
        <v>307</v>
      </c>
      <c r="B2" s="75" t="s">
        <v>307</v>
      </c>
      <c r="C2" s="75"/>
      <c r="D2" s="75" t="s">
        <v>344</v>
      </c>
      <c r="E2" s="75" t="s">
        <v>344</v>
      </c>
      <c r="F2" s="75" t="s">
        <v>344</v>
      </c>
      <c r="G2" s="75" t="s">
        <v>344</v>
      </c>
      <c r="H2" s="75" t="s">
        <v>344</v>
      </c>
      <c r="I2" s="75" t="s">
        <v>344</v>
      </c>
      <c r="J2" s="75" t="s">
        <v>344</v>
      </c>
      <c r="K2" s="75" t="s">
        <v>344</v>
      </c>
      <c r="L2" s="75" t="s">
        <v>428</v>
      </c>
      <c r="M2" s="75" t="s">
        <v>344</v>
      </c>
      <c r="N2" s="75" t="s">
        <v>344</v>
      </c>
      <c r="O2" s="75" t="s">
        <v>344</v>
      </c>
      <c r="P2" s="75" t="s">
        <v>344</v>
      </c>
      <c r="Q2" s="75" t="s">
        <v>344</v>
      </c>
    </row>
    <row r="3" spans="1:17" ht="12.75">
      <c r="A3" s="75" t="s">
        <v>448</v>
      </c>
      <c r="B3" s="75" t="s">
        <v>345</v>
      </c>
      <c r="C3" s="308">
        <v>34031</v>
      </c>
      <c r="D3" s="75">
        <v>0.0037</v>
      </c>
      <c r="E3" s="75">
        <v>1.82</v>
      </c>
      <c r="F3" s="75">
        <v>0.0333</v>
      </c>
      <c r="G3" s="75" t="s">
        <v>321</v>
      </c>
      <c r="H3" s="75">
        <v>0.86</v>
      </c>
      <c r="I3" s="75">
        <v>2.45</v>
      </c>
      <c r="J3" s="75" t="s">
        <v>321</v>
      </c>
      <c r="K3" s="75">
        <v>0.004</v>
      </c>
      <c r="L3" s="75" t="s">
        <v>321</v>
      </c>
      <c r="M3" s="75" t="s">
        <v>321</v>
      </c>
      <c r="N3" s="75">
        <v>2.74</v>
      </c>
      <c r="O3" s="75">
        <v>0.24</v>
      </c>
      <c r="P3" s="75">
        <v>0.132</v>
      </c>
      <c r="Q3" s="75">
        <v>1.86</v>
      </c>
    </row>
    <row r="4" spans="1:17" ht="12.75">
      <c r="A4" s="75" t="s">
        <v>448</v>
      </c>
      <c r="B4" s="75" t="s">
        <v>345</v>
      </c>
      <c r="C4" s="308">
        <v>34113</v>
      </c>
      <c r="D4" s="75">
        <v>0.0516</v>
      </c>
      <c r="E4" s="75">
        <v>1.78</v>
      </c>
      <c r="F4" s="75">
        <v>0.0685</v>
      </c>
      <c r="G4" s="75" t="s">
        <v>321</v>
      </c>
      <c r="H4" s="75">
        <v>1.42</v>
      </c>
      <c r="I4" s="75">
        <v>1.61</v>
      </c>
      <c r="J4" s="75" t="s">
        <v>321</v>
      </c>
      <c r="K4" s="75">
        <v>0.0035</v>
      </c>
      <c r="L4" s="75" t="s">
        <v>321</v>
      </c>
      <c r="M4" s="75" t="s">
        <v>321</v>
      </c>
      <c r="N4" s="75">
        <v>1.79</v>
      </c>
      <c r="O4" s="75">
        <v>0.24</v>
      </c>
      <c r="P4" s="75">
        <v>0.234</v>
      </c>
      <c r="Q4" s="75">
        <v>1.87</v>
      </c>
    </row>
    <row r="5" spans="1:17" ht="12.75">
      <c r="A5" s="75" t="s">
        <v>448</v>
      </c>
      <c r="B5" s="75" t="s">
        <v>345</v>
      </c>
      <c r="C5" s="308">
        <v>34225</v>
      </c>
      <c r="D5" s="75">
        <v>0.0093</v>
      </c>
      <c r="E5" s="75">
        <v>2.3</v>
      </c>
      <c r="F5" s="75">
        <v>0.0641</v>
      </c>
      <c r="G5" s="75" t="s">
        <v>321</v>
      </c>
      <c r="H5" s="75">
        <v>0.9</v>
      </c>
      <c r="I5" s="75">
        <v>1.66</v>
      </c>
      <c r="J5" s="75" t="s">
        <v>321</v>
      </c>
      <c r="K5" s="75">
        <v>0.0039</v>
      </c>
      <c r="L5" s="75" t="s">
        <v>321</v>
      </c>
      <c r="M5" s="75" t="s">
        <v>321</v>
      </c>
      <c r="N5" s="75">
        <v>1.46</v>
      </c>
      <c r="O5" s="75">
        <v>0.27</v>
      </c>
      <c r="P5" s="75">
        <v>0.275</v>
      </c>
      <c r="Q5" s="75">
        <v>1.76</v>
      </c>
    </row>
    <row r="6" spans="1:17" ht="12.75">
      <c r="A6" s="75" t="s">
        <v>448</v>
      </c>
      <c r="B6" s="75" t="s">
        <v>345</v>
      </c>
      <c r="C6" s="308">
        <v>34368</v>
      </c>
      <c r="D6" s="75">
        <v>0.013</v>
      </c>
      <c r="E6" s="75">
        <v>2.18</v>
      </c>
      <c r="F6" s="75">
        <v>0.0628</v>
      </c>
      <c r="G6" s="75" t="s">
        <v>321</v>
      </c>
      <c r="H6" s="75">
        <v>1.07</v>
      </c>
      <c r="I6" s="75">
        <v>1.68</v>
      </c>
      <c r="J6" s="75" t="s">
        <v>321</v>
      </c>
      <c r="K6" s="75">
        <v>0.0042</v>
      </c>
      <c r="L6" s="75" t="s">
        <v>321</v>
      </c>
      <c r="M6" s="75" t="s">
        <v>321</v>
      </c>
      <c r="N6" s="75">
        <v>2.13</v>
      </c>
      <c r="O6" s="75">
        <v>0.28</v>
      </c>
      <c r="P6" s="75">
        <v>0.39</v>
      </c>
      <c r="Q6" s="75">
        <v>3.26</v>
      </c>
    </row>
    <row r="7" spans="1:17" ht="12.75">
      <c r="A7" s="75" t="s">
        <v>448</v>
      </c>
      <c r="B7" s="75" t="s">
        <v>345</v>
      </c>
      <c r="C7" s="308">
        <v>34444</v>
      </c>
      <c r="D7" s="75">
        <v>0.0165</v>
      </c>
      <c r="E7" s="75">
        <v>2.02</v>
      </c>
      <c r="F7" s="75">
        <v>0.0951</v>
      </c>
      <c r="G7" s="75" t="s">
        <v>321</v>
      </c>
      <c r="H7" s="75">
        <v>1.78</v>
      </c>
      <c r="I7" s="75">
        <v>2.34</v>
      </c>
      <c r="J7" s="75" t="s">
        <v>321</v>
      </c>
      <c r="K7" s="75">
        <v>0.0064</v>
      </c>
      <c r="L7" s="75" t="s">
        <v>321</v>
      </c>
      <c r="M7" s="75" t="s">
        <v>321</v>
      </c>
      <c r="N7" s="75">
        <v>3.21</v>
      </c>
      <c r="O7" s="75">
        <v>0.8</v>
      </c>
      <c r="P7" s="75">
        <v>0.27</v>
      </c>
      <c r="Q7" s="75">
        <v>3.22</v>
      </c>
    </row>
    <row r="8" spans="1:17" ht="12.75">
      <c r="A8" s="75" t="s">
        <v>448</v>
      </c>
      <c r="B8" s="75" t="s">
        <v>345</v>
      </c>
      <c r="C8" s="308">
        <v>34563</v>
      </c>
      <c r="D8" s="75">
        <v>0.009</v>
      </c>
      <c r="E8" s="75">
        <v>2.46</v>
      </c>
      <c r="F8" s="75">
        <v>0.1268</v>
      </c>
      <c r="G8" s="75" t="s">
        <v>321</v>
      </c>
      <c r="H8" s="75">
        <v>1.17</v>
      </c>
      <c r="I8" s="75">
        <v>2.02</v>
      </c>
      <c r="J8" s="75" t="s">
        <v>321</v>
      </c>
      <c r="K8" s="75">
        <v>0.0029</v>
      </c>
      <c r="L8" s="75" t="s">
        <v>321</v>
      </c>
      <c r="M8" s="75" t="s">
        <v>321</v>
      </c>
      <c r="N8" s="75">
        <v>2.06</v>
      </c>
      <c r="O8" s="75">
        <v>0.19</v>
      </c>
      <c r="P8" s="75">
        <v>0.27</v>
      </c>
      <c r="Q8" s="75">
        <v>1.77</v>
      </c>
    </row>
    <row r="9" spans="1:17" ht="12.75">
      <c r="A9" s="75" t="s">
        <v>448</v>
      </c>
      <c r="B9" s="75" t="s">
        <v>345</v>
      </c>
      <c r="C9" s="308">
        <v>34738</v>
      </c>
      <c r="D9" s="75">
        <v>0.0026</v>
      </c>
      <c r="E9" s="75">
        <v>1.55</v>
      </c>
      <c r="F9" s="75">
        <v>0.032</v>
      </c>
      <c r="G9" s="75" t="s">
        <v>321</v>
      </c>
      <c r="H9" s="75">
        <v>0.85</v>
      </c>
      <c r="I9" s="75">
        <v>2.27</v>
      </c>
      <c r="J9" s="75" t="s">
        <v>321</v>
      </c>
      <c r="K9" s="75">
        <v>0.0025</v>
      </c>
      <c r="L9" s="75" t="s">
        <v>321</v>
      </c>
      <c r="M9" s="75" t="s">
        <v>321</v>
      </c>
      <c r="N9" s="75">
        <v>2.81</v>
      </c>
      <c r="O9" s="75">
        <v>0.15</v>
      </c>
      <c r="P9" s="75">
        <v>0.07</v>
      </c>
      <c r="Q9" s="75">
        <v>2.01</v>
      </c>
    </row>
    <row r="10" spans="1:17" ht="12.75">
      <c r="A10" s="75" t="s">
        <v>448</v>
      </c>
      <c r="B10" s="75" t="s">
        <v>345</v>
      </c>
      <c r="C10" s="308">
        <v>34816</v>
      </c>
      <c r="D10" s="75">
        <v>0.0033</v>
      </c>
      <c r="E10" s="75">
        <v>1.63</v>
      </c>
      <c r="F10" s="75">
        <v>0.048</v>
      </c>
      <c r="G10" s="75" t="s">
        <v>321</v>
      </c>
      <c r="H10" s="75">
        <v>1.64</v>
      </c>
      <c r="I10" s="75">
        <v>1.8</v>
      </c>
      <c r="J10" s="75" t="s">
        <v>321</v>
      </c>
      <c r="K10" s="75">
        <v>0.0034</v>
      </c>
      <c r="L10" s="75" t="s">
        <v>321</v>
      </c>
      <c r="M10" s="75" t="s">
        <v>321</v>
      </c>
      <c r="N10" s="75">
        <v>2.63</v>
      </c>
      <c r="O10" s="75">
        <v>0.35</v>
      </c>
      <c r="P10" s="75">
        <v>0.18</v>
      </c>
      <c r="Q10" s="75">
        <v>2.23</v>
      </c>
    </row>
    <row r="11" spans="1:17" ht="12.75">
      <c r="A11" s="75" t="s">
        <v>448</v>
      </c>
      <c r="B11" s="75" t="s">
        <v>345</v>
      </c>
      <c r="C11" s="308">
        <v>34927</v>
      </c>
      <c r="D11" s="75">
        <v>0.01</v>
      </c>
      <c r="E11" s="75">
        <v>2.02</v>
      </c>
      <c r="F11" s="75">
        <v>0.09</v>
      </c>
      <c r="G11" s="75" t="s">
        <v>321</v>
      </c>
      <c r="H11" s="75">
        <v>0.6</v>
      </c>
      <c r="I11" s="75">
        <v>1.33</v>
      </c>
      <c r="J11" s="75" t="s">
        <v>321</v>
      </c>
      <c r="K11" s="75">
        <v>0.0022</v>
      </c>
      <c r="L11" s="75" t="s">
        <v>321</v>
      </c>
      <c r="M11" s="75" t="s">
        <v>321</v>
      </c>
      <c r="N11" s="75">
        <v>1.43</v>
      </c>
      <c r="O11" s="75">
        <v>0.18</v>
      </c>
      <c r="P11" s="75" t="s">
        <v>449</v>
      </c>
      <c r="Q11" s="75">
        <v>1.48</v>
      </c>
    </row>
    <row r="12" spans="1:17" ht="12.75">
      <c r="A12" s="75" t="s">
        <v>448</v>
      </c>
      <c r="B12" s="75" t="s">
        <v>345</v>
      </c>
      <c r="C12" s="308">
        <v>35102</v>
      </c>
      <c r="D12" s="75">
        <v>0.004</v>
      </c>
      <c r="E12" s="75">
        <v>1.75</v>
      </c>
      <c r="F12" s="75">
        <v>0.07</v>
      </c>
      <c r="G12" s="75" t="s">
        <v>321</v>
      </c>
      <c r="H12" s="75">
        <v>1.2</v>
      </c>
      <c r="I12" s="75">
        <v>2.1</v>
      </c>
      <c r="J12" s="75" t="s">
        <v>321</v>
      </c>
      <c r="K12" s="75">
        <v>0.005</v>
      </c>
      <c r="L12" s="75" t="s">
        <v>321</v>
      </c>
      <c r="M12" s="75" t="s">
        <v>321</v>
      </c>
      <c r="N12" s="75">
        <v>2.3</v>
      </c>
      <c r="O12" s="75">
        <v>0.3</v>
      </c>
      <c r="P12" s="75">
        <v>0.3</v>
      </c>
      <c r="Q12" s="75">
        <v>4.4</v>
      </c>
    </row>
    <row r="13" spans="1:17" ht="12.75">
      <c r="A13" s="75" t="s">
        <v>448</v>
      </c>
      <c r="B13" s="75" t="s">
        <v>345</v>
      </c>
      <c r="C13" s="308">
        <v>35185</v>
      </c>
      <c r="D13" s="75">
        <v>0.004</v>
      </c>
      <c r="E13" s="75">
        <v>1.61</v>
      </c>
      <c r="F13" s="75">
        <v>0.05</v>
      </c>
      <c r="G13" s="75" t="s">
        <v>321</v>
      </c>
      <c r="H13" s="75">
        <v>0.7</v>
      </c>
      <c r="I13" s="75">
        <v>1.2</v>
      </c>
      <c r="J13" s="75" t="s">
        <v>321</v>
      </c>
      <c r="K13" s="75">
        <v>0.002</v>
      </c>
      <c r="L13" s="75" t="s">
        <v>321</v>
      </c>
      <c r="M13" s="75" t="s">
        <v>321</v>
      </c>
      <c r="N13" s="75">
        <v>1.2</v>
      </c>
      <c r="O13" s="75">
        <v>0.1</v>
      </c>
      <c r="P13" s="75">
        <v>0.11</v>
      </c>
      <c r="Q13" s="75">
        <v>1.2</v>
      </c>
    </row>
    <row r="14" spans="1:17" ht="12.75">
      <c r="A14" s="75" t="s">
        <v>448</v>
      </c>
      <c r="B14" s="75" t="s">
        <v>345</v>
      </c>
      <c r="C14" s="308">
        <v>35272</v>
      </c>
      <c r="D14" s="75">
        <v>0.007</v>
      </c>
      <c r="E14" s="75">
        <v>2.13</v>
      </c>
      <c r="F14" s="75">
        <v>0.1</v>
      </c>
      <c r="G14" s="75" t="s">
        <v>321</v>
      </c>
      <c r="H14" s="75">
        <v>4.4</v>
      </c>
      <c r="I14" s="75">
        <v>1.8</v>
      </c>
      <c r="J14" s="75" t="s">
        <v>321</v>
      </c>
      <c r="K14" s="75">
        <v>0.004</v>
      </c>
      <c r="L14" s="75" t="s">
        <v>321</v>
      </c>
      <c r="M14" s="75" t="s">
        <v>321</v>
      </c>
      <c r="N14" s="75">
        <v>2.5</v>
      </c>
      <c r="O14" s="75">
        <v>0.3</v>
      </c>
      <c r="P14" s="75">
        <v>0.09</v>
      </c>
      <c r="Q14" s="75">
        <v>2.4</v>
      </c>
    </row>
    <row r="15" spans="1:17" ht="12.75">
      <c r="A15" s="75" t="s">
        <v>448</v>
      </c>
      <c r="B15" s="75" t="s">
        <v>345</v>
      </c>
      <c r="C15" s="308">
        <v>35453</v>
      </c>
      <c r="D15" s="75" t="s">
        <v>321</v>
      </c>
      <c r="E15" s="75">
        <v>1.47</v>
      </c>
      <c r="F15" s="75">
        <v>0.03</v>
      </c>
      <c r="G15" s="75" t="s">
        <v>321</v>
      </c>
      <c r="H15" s="75">
        <v>3.28</v>
      </c>
      <c r="I15" s="75">
        <v>1.8</v>
      </c>
      <c r="J15" s="75" t="s">
        <v>321</v>
      </c>
      <c r="K15" s="75">
        <v>0.0001</v>
      </c>
      <c r="L15" s="75" t="s">
        <v>321</v>
      </c>
      <c r="M15" s="75" t="s">
        <v>321</v>
      </c>
      <c r="N15" s="75">
        <v>2.4</v>
      </c>
      <c r="O15" s="75">
        <v>0.34</v>
      </c>
      <c r="P15" s="75">
        <v>0.11</v>
      </c>
      <c r="Q15" s="75">
        <v>2.4</v>
      </c>
    </row>
    <row r="16" spans="1:17" ht="12.75">
      <c r="A16" s="75" t="s">
        <v>448</v>
      </c>
      <c r="B16" s="75" t="s">
        <v>345</v>
      </c>
      <c r="C16" s="308">
        <v>35534</v>
      </c>
      <c r="D16" s="75" t="s">
        <v>321</v>
      </c>
      <c r="E16" s="75">
        <v>2.11</v>
      </c>
      <c r="F16" s="75">
        <v>0.07</v>
      </c>
      <c r="G16" s="75" t="s">
        <v>321</v>
      </c>
      <c r="H16" s="75">
        <v>1.41</v>
      </c>
      <c r="I16" s="75">
        <v>1.8</v>
      </c>
      <c r="J16" s="75" t="s">
        <v>321</v>
      </c>
      <c r="K16" s="75">
        <v>0.0038</v>
      </c>
      <c r="L16" s="75" t="s">
        <v>321</v>
      </c>
      <c r="M16" s="75" t="s">
        <v>321</v>
      </c>
      <c r="N16" s="75">
        <v>1.9</v>
      </c>
      <c r="O16" s="75">
        <v>0.28</v>
      </c>
      <c r="P16" s="75">
        <v>0.11</v>
      </c>
      <c r="Q16" s="75">
        <v>2.8</v>
      </c>
    </row>
    <row r="17" spans="1:17" ht="12.75">
      <c r="A17" s="75" t="s">
        <v>448</v>
      </c>
      <c r="B17" s="75" t="s">
        <v>345</v>
      </c>
      <c r="C17" s="308">
        <v>35641</v>
      </c>
      <c r="D17" s="75" t="s">
        <v>321</v>
      </c>
      <c r="E17" s="75">
        <v>2.22</v>
      </c>
      <c r="F17" s="75">
        <v>0.1</v>
      </c>
      <c r="G17" s="75" t="s">
        <v>321</v>
      </c>
      <c r="H17" s="75">
        <v>1.39</v>
      </c>
      <c r="I17" s="75">
        <v>1.5</v>
      </c>
      <c r="J17" s="75" t="s">
        <v>321</v>
      </c>
      <c r="K17" s="75">
        <v>0.0026</v>
      </c>
      <c r="L17" s="75" t="s">
        <v>321</v>
      </c>
      <c r="M17" s="75" t="s">
        <v>321</v>
      </c>
      <c r="N17" s="75">
        <v>2.3</v>
      </c>
      <c r="O17" s="75">
        <v>0.25</v>
      </c>
      <c r="P17" s="75">
        <v>0.14</v>
      </c>
      <c r="Q17" s="75">
        <v>1.7</v>
      </c>
    </row>
    <row r="18" spans="1:17" ht="12.75">
      <c r="A18" s="75" t="s">
        <v>448</v>
      </c>
      <c r="B18" s="75" t="s">
        <v>345</v>
      </c>
      <c r="C18" s="308">
        <v>35824</v>
      </c>
      <c r="D18" s="75">
        <v>0.01</v>
      </c>
      <c r="E18" s="75">
        <v>1.98</v>
      </c>
      <c r="F18" s="75">
        <v>0.04</v>
      </c>
      <c r="G18" s="75" t="s">
        <v>321</v>
      </c>
      <c r="H18" s="75">
        <v>3.05</v>
      </c>
      <c r="I18" s="75">
        <v>2.2</v>
      </c>
      <c r="J18" s="75" t="s">
        <v>321</v>
      </c>
      <c r="K18" s="75">
        <v>0.0055</v>
      </c>
      <c r="L18" s="75" t="s">
        <v>321</v>
      </c>
      <c r="M18" s="75" t="s">
        <v>321</v>
      </c>
      <c r="N18" s="75">
        <v>3.5</v>
      </c>
      <c r="O18" s="75">
        <v>0.67</v>
      </c>
      <c r="P18" s="75">
        <v>0.15</v>
      </c>
      <c r="Q18" s="75">
        <v>4.2</v>
      </c>
    </row>
    <row r="19" spans="1:17" ht="12.75">
      <c r="A19" s="75" t="s">
        <v>448</v>
      </c>
      <c r="B19" s="75" t="s">
        <v>345</v>
      </c>
      <c r="C19" s="308">
        <v>35905</v>
      </c>
      <c r="D19" s="75">
        <v>0.004</v>
      </c>
      <c r="E19" s="75">
        <v>1.52</v>
      </c>
      <c r="F19" s="75">
        <v>0.02</v>
      </c>
      <c r="G19" s="75" t="s">
        <v>321</v>
      </c>
      <c r="H19" s="75">
        <v>2.69</v>
      </c>
      <c r="I19" s="75">
        <v>2.1</v>
      </c>
      <c r="J19" s="75" t="s">
        <v>321</v>
      </c>
      <c r="K19" s="75">
        <v>0.003</v>
      </c>
      <c r="L19" s="75" t="s">
        <v>321</v>
      </c>
      <c r="M19" s="75" t="s">
        <v>321</v>
      </c>
      <c r="N19" s="75">
        <v>2.4</v>
      </c>
      <c r="O19" s="75">
        <v>0.35</v>
      </c>
      <c r="P19" s="75">
        <v>0.19</v>
      </c>
      <c r="Q19" s="75">
        <v>2.6</v>
      </c>
    </row>
    <row r="20" spans="1:17" ht="12.75">
      <c r="A20" s="75" t="s">
        <v>448</v>
      </c>
      <c r="B20" s="75" t="s">
        <v>345</v>
      </c>
      <c r="C20" s="308">
        <v>35998</v>
      </c>
      <c r="D20" s="75">
        <v>0.004</v>
      </c>
      <c r="E20" s="75">
        <v>1.92</v>
      </c>
      <c r="F20" s="75">
        <v>0.07</v>
      </c>
      <c r="G20" s="75" t="s">
        <v>321</v>
      </c>
      <c r="H20" s="75">
        <v>0.71</v>
      </c>
      <c r="I20" s="75">
        <v>1.3</v>
      </c>
      <c r="J20" s="75" t="s">
        <v>321</v>
      </c>
      <c r="K20" s="75">
        <v>0.0023</v>
      </c>
      <c r="L20" s="75" t="s">
        <v>321</v>
      </c>
      <c r="M20" s="75" t="s">
        <v>321</v>
      </c>
      <c r="N20" s="75">
        <v>1.6</v>
      </c>
      <c r="O20" s="75">
        <v>0.16</v>
      </c>
      <c r="P20" s="75">
        <v>0.12</v>
      </c>
      <c r="Q20" s="75">
        <v>2</v>
      </c>
    </row>
    <row r="21" spans="1:17" ht="12.75">
      <c r="A21" s="75" t="s">
        <v>448</v>
      </c>
      <c r="B21" s="75" t="s">
        <v>345</v>
      </c>
      <c r="C21" s="308">
        <v>36195</v>
      </c>
      <c r="D21" s="75">
        <v>0.005</v>
      </c>
      <c r="E21" s="75">
        <v>1.68</v>
      </c>
      <c r="F21" s="75">
        <v>0.038</v>
      </c>
      <c r="G21" s="75" t="s">
        <v>321</v>
      </c>
      <c r="H21" s="75">
        <v>0.65</v>
      </c>
      <c r="I21" s="75">
        <v>1.8</v>
      </c>
      <c r="J21" s="75" t="s">
        <v>321</v>
      </c>
      <c r="K21" s="75" t="s">
        <v>346</v>
      </c>
      <c r="L21" s="75" t="s">
        <v>321</v>
      </c>
      <c r="M21" s="75" t="s">
        <v>321</v>
      </c>
      <c r="N21" s="75">
        <v>2.3</v>
      </c>
      <c r="O21" s="75">
        <v>0.29</v>
      </c>
      <c r="P21" s="75">
        <v>0.11</v>
      </c>
      <c r="Q21" s="75">
        <v>2.3</v>
      </c>
    </row>
    <row r="22" spans="1:17" ht="12.75">
      <c r="A22" s="75" t="s">
        <v>448</v>
      </c>
      <c r="B22" s="75" t="s">
        <v>345</v>
      </c>
      <c r="C22" s="308">
        <v>36264</v>
      </c>
      <c r="D22" s="75">
        <v>0.006</v>
      </c>
      <c r="E22" s="75">
        <v>1.11</v>
      </c>
      <c r="F22" s="75">
        <v>0.068</v>
      </c>
      <c r="G22" s="75" t="s">
        <v>321</v>
      </c>
      <c r="H22" s="75">
        <v>2.09</v>
      </c>
      <c r="I22" s="75">
        <v>1.6</v>
      </c>
      <c r="J22" s="75" t="s">
        <v>321</v>
      </c>
      <c r="K22" s="75" t="s">
        <v>347</v>
      </c>
      <c r="L22" s="75" t="s">
        <v>450</v>
      </c>
      <c r="M22" s="75" t="s">
        <v>321</v>
      </c>
      <c r="N22" s="75">
        <v>2.2</v>
      </c>
      <c r="O22" s="75">
        <v>0.35</v>
      </c>
      <c r="P22" s="75" t="s">
        <v>348</v>
      </c>
      <c r="Q22" s="75">
        <v>2.5</v>
      </c>
    </row>
    <row r="23" spans="1:17" ht="12.75">
      <c r="A23" s="75" t="s">
        <v>448</v>
      </c>
      <c r="B23" s="75" t="s">
        <v>345</v>
      </c>
      <c r="C23" s="308">
        <v>36357</v>
      </c>
      <c r="D23" s="75">
        <v>0.012</v>
      </c>
      <c r="E23" s="75">
        <v>2.14</v>
      </c>
      <c r="F23" s="75">
        <v>0.126</v>
      </c>
      <c r="G23" s="75" t="s">
        <v>321</v>
      </c>
      <c r="H23" s="75">
        <v>3.33</v>
      </c>
      <c r="I23" s="75">
        <v>2.3</v>
      </c>
      <c r="J23" s="75" t="s">
        <v>321</v>
      </c>
      <c r="K23" s="75" t="s">
        <v>349</v>
      </c>
      <c r="L23" s="75" t="s">
        <v>451</v>
      </c>
      <c r="M23" s="75" t="s">
        <v>321</v>
      </c>
      <c r="N23" s="75">
        <v>3.7</v>
      </c>
      <c r="O23" s="75">
        <v>0.63</v>
      </c>
      <c r="P23" s="75">
        <v>0.11</v>
      </c>
      <c r="Q23" s="75">
        <v>3.9</v>
      </c>
    </row>
    <row r="24" spans="1:17" ht="12.75">
      <c r="A24" s="75" t="s">
        <v>448</v>
      </c>
      <c r="B24" s="75" t="s">
        <v>345</v>
      </c>
      <c r="C24" s="308">
        <v>36560</v>
      </c>
      <c r="D24" s="75">
        <v>0.011</v>
      </c>
      <c r="E24" s="75">
        <v>1.39</v>
      </c>
      <c r="F24" s="75">
        <v>0.091</v>
      </c>
      <c r="G24" s="75" t="s">
        <v>321</v>
      </c>
      <c r="H24" s="75" t="s">
        <v>321</v>
      </c>
      <c r="I24" s="75">
        <v>2.01</v>
      </c>
      <c r="J24" s="75" t="s">
        <v>321</v>
      </c>
      <c r="K24" s="75" t="s">
        <v>350</v>
      </c>
      <c r="L24" s="75" t="s">
        <v>452</v>
      </c>
      <c r="M24" s="75" t="s">
        <v>321</v>
      </c>
      <c r="N24" s="75">
        <v>3.014</v>
      </c>
      <c r="O24" s="75">
        <v>0.74823</v>
      </c>
      <c r="P24" s="75" t="s">
        <v>453</v>
      </c>
      <c r="Q24" s="75">
        <v>2.996</v>
      </c>
    </row>
    <row r="25" spans="1:17" ht="12.75">
      <c r="A25" s="75" t="s">
        <v>448</v>
      </c>
      <c r="B25" s="75" t="s">
        <v>345</v>
      </c>
      <c r="C25" s="308">
        <v>36721</v>
      </c>
      <c r="D25" s="75">
        <v>0.007</v>
      </c>
      <c r="E25" s="75">
        <v>1.71</v>
      </c>
      <c r="F25" s="75">
        <v>0.086</v>
      </c>
      <c r="G25" s="75" t="s">
        <v>321</v>
      </c>
      <c r="H25" s="75" t="s">
        <v>321</v>
      </c>
      <c r="I25" s="75">
        <v>0.815</v>
      </c>
      <c r="J25" s="75" t="s">
        <v>321</v>
      </c>
      <c r="K25" s="75" t="s">
        <v>454</v>
      </c>
      <c r="L25" s="75" t="s">
        <v>455</v>
      </c>
      <c r="M25" s="75" t="s">
        <v>321</v>
      </c>
      <c r="N25" s="75">
        <v>1.086</v>
      </c>
      <c r="O25" s="75">
        <v>0.23813</v>
      </c>
      <c r="P25" s="75" t="s">
        <v>351</v>
      </c>
      <c r="Q25" s="75">
        <v>1.266</v>
      </c>
    </row>
    <row r="26" spans="1:17" ht="12.75">
      <c r="A26" s="75" t="s">
        <v>448</v>
      </c>
      <c r="B26" s="75" t="s">
        <v>345</v>
      </c>
      <c r="C26" s="308">
        <v>36930</v>
      </c>
      <c r="D26" s="75" t="s">
        <v>321</v>
      </c>
      <c r="E26" s="75">
        <v>2.16</v>
      </c>
      <c r="F26" s="75" t="s">
        <v>321</v>
      </c>
      <c r="G26" s="75" t="s">
        <v>321</v>
      </c>
      <c r="H26" s="75" t="s">
        <v>321</v>
      </c>
      <c r="I26" s="75" t="s">
        <v>321</v>
      </c>
      <c r="J26" s="75" t="s">
        <v>321</v>
      </c>
      <c r="K26" s="75" t="s">
        <v>456</v>
      </c>
      <c r="L26" s="75" t="s">
        <v>457</v>
      </c>
      <c r="M26" s="75" t="s">
        <v>321</v>
      </c>
      <c r="N26" s="75" t="s">
        <v>321</v>
      </c>
      <c r="O26" s="75" t="s">
        <v>321</v>
      </c>
      <c r="P26" s="75" t="s">
        <v>458</v>
      </c>
      <c r="Q26" s="75" t="s">
        <v>321</v>
      </c>
    </row>
    <row r="27" spans="1:17" ht="12.75">
      <c r="A27" s="75" t="s">
        <v>448</v>
      </c>
      <c r="B27" s="75" t="s">
        <v>345</v>
      </c>
      <c r="C27" s="308">
        <v>37106</v>
      </c>
      <c r="D27" s="75" t="s">
        <v>321</v>
      </c>
      <c r="E27" s="75" t="s">
        <v>459</v>
      </c>
      <c r="F27" s="75" t="s">
        <v>321</v>
      </c>
      <c r="G27" s="75" t="s">
        <v>321</v>
      </c>
      <c r="H27" s="75" t="s">
        <v>321</v>
      </c>
      <c r="I27" s="75" t="s">
        <v>321</v>
      </c>
      <c r="J27" s="75" t="s">
        <v>321</v>
      </c>
      <c r="K27" s="75">
        <v>0.0086</v>
      </c>
      <c r="L27" s="75">
        <v>0.197</v>
      </c>
      <c r="M27" s="75" t="s">
        <v>321</v>
      </c>
      <c r="N27" s="75" t="s">
        <v>321</v>
      </c>
      <c r="O27" s="75" t="s">
        <v>321</v>
      </c>
      <c r="P27" s="75" t="s">
        <v>458</v>
      </c>
      <c r="Q27" s="75" t="s">
        <v>321</v>
      </c>
    </row>
    <row r="28" spans="1:17" ht="12.75">
      <c r="A28" s="75"/>
      <c r="B28" s="302" t="s">
        <v>402</v>
      </c>
      <c r="C28" s="75"/>
      <c r="D28" s="302">
        <f>MAX(D3:D27)</f>
        <v>0.0516</v>
      </c>
      <c r="E28" s="302">
        <f aca="true" t="shared" si="0" ref="E28:Q28">MAX(E3:E27)</f>
        <v>2.46</v>
      </c>
      <c r="F28" s="302">
        <f t="shared" si="0"/>
        <v>0.1268</v>
      </c>
      <c r="G28" s="302">
        <f t="shared" si="0"/>
        <v>0</v>
      </c>
      <c r="H28" s="302">
        <f t="shared" si="0"/>
        <v>4.4</v>
      </c>
      <c r="I28" s="302">
        <f t="shared" si="0"/>
        <v>2.45</v>
      </c>
      <c r="J28" s="302">
        <f t="shared" si="0"/>
        <v>0</v>
      </c>
      <c r="K28" s="302">
        <f t="shared" si="0"/>
        <v>0.0086</v>
      </c>
      <c r="L28" s="302">
        <f t="shared" si="0"/>
        <v>0.197</v>
      </c>
      <c r="M28" s="302">
        <f t="shared" si="0"/>
        <v>0</v>
      </c>
      <c r="N28" s="302">
        <f t="shared" si="0"/>
        <v>3.7</v>
      </c>
      <c r="O28" s="302">
        <f t="shared" si="0"/>
        <v>0.8</v>
      </c>
      <c r="P28" s="302">
        <f t="shared" si="0"/>
        <v>0.39</v>
      </c>
      <c r="Q28" s="302">
        <f t="shared" si="0"/>
        <v>4.4</v>
      </c>
    </row>
    <row r="29" spans="1:17" ht="12.75">
      <c r="A29" s="75"/>
      <c r="B29" s="302" t="s">
        <v>315</v>
      </c>
      <c r="C29" s="75"/>
      <c r="D29" s="302">
        <f>AVERAGE(D3:D27)</f>
        <v>0.009650000000000002</v>
      </c>
      <c r="E29" s="302">
        <f aca="true" t="shared" si="1" ref="E29:Q29">AVERAGE(E3:E27)</f>
        <v>1.8608333333333331</v>
      </c>
      <c r="F29" s="302">
        <f t="shared" si="1"/>
        <v>0.06867826086956524</v>
      </c>
      <c r="G29" s="302" t="e">
        <f t="shared" si="1"/>
        <v>#DIV/0!</v>
      </c>
      <c r="H29" s="302">
        <f t="shared" si="1"/>
        <v>1.675714285714286</v>
      </c>
      <c r="I29" s="302">
        <f t="shared" si="1"/>
        <v>1.8036956521739127</v>
      </c>
      <c r="J29" s="302" t="e">
        <f t="shared" si="1"/>
        <v>#DIV/0!</v>
      </c>
      <c r="K29" s="302">
        <f t="shared" si="1"/>
        <v>0.003678947368421052</v>
      </c>
      <c r="L29" s="302">
        <f t="shared" si="1"/>
        <v>0.197</v>
      </c>
      <c r="M29" s="302" t="e">
        <f t="shared" si="1"/>
        <v>#DIV/0!</v>
      </c>
      <c r="N29" s="302">
        <f t="shared" si="1"/>
        <v>2.2895652173913046</v>
      </c>
      <c r="O29" s="302">
        <f t="shared" si="1"/>
        <v>0.3350591304347825</v>
      </c>
      <c r="P29" s="302">
        <f t="shared" si="1"/>
        <v>0.17689473684210522</v>
      </c>
      <c r="Q29" s="302">
        <f t="shared" si="1"/>
        <v>2.440086956521739</v>
      </c>
    </row>
    <row r="30" ht="12" customHeight="1">
      <c r="B30" s="278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&amp;CRMP Yerba Buena Total Metals Data</oddHeader>
    <oddFooter>&amp;C&amp;P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P25"/>
  <sheetViews>
    <sheetView workbookViewId="0" topLeftCell="A1">
      <pane xSplit="3" ySplit="2" topLeftCell="X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IV1"/>
    </sheetView>
  </sheetViews>
  <sheetFormatPr defaultColWidth="9.140625" defaultRowHeight="12.75"/>
  <cols>
    <col min="1" max="1" width="7.8515625" style="306" customWidth="1"/>
    <col min="2" max="2" width="13.421875" style="306" bestFit="1" customWidth="1"/>
    <col min="3" max="3" width="7.8515625" style="307" customWidth="1"/>
    <col min="4" max="34" width="7.8515625" style="306" customWidth="1"/>
  </cols>
  <sheetData>
    <row r="1" spans="1:34" s="277" customFormat="1" ht="34.5" customHeight="1">
      <c r="A1" s="303" t="s">
        <v>443</v>
      </c>
      <c r="B1" s="303" t="s">
        <v>336</v>
      </c>
      <c r="C1" s="303" t="s">
        <v>287</v>
      </c>
      <c r="D1" s="303" t="s">
        <v>352</v>
      </c>
      <c r="E1" s="303" t="s">
        <v>353</v>
      </c>
      <c r="F1" s="303" t="s">
        <v>354</v>
      </c>
      <c r="G1" s="303" t="s">
        <v>355</v>
      </c>
      <c r="H1" s="303" t="s">
        <v>356</v>
      </c>
      <c r="I1" s="303" t="s">
        <v>357</v>
      </c>
      <c r="J1" s="303" t="s">
        <v>107</v>
      </c>
      <c r="K1" s="303" t="s">
        <v>358</v>
      </c>
      <c r="L1" s="303" t="s">
        <v>359</v>
      </c>
      <c r="M1" s="303" t="s">
        <v>360</v>
      </c>
      <c r="N1" s="303" t="s">
        <v>361</v>
      </c>
      <c r="O1" s="303" t="s">
        <v>69</v>
      </c>
      <c r="P1" s="303" t="s">
        <v>70</v>
      </c>
      <c r="Q1" s="303" t="s">
        <v>71</v>
      </c>
      <c r="R1" s="303" t="s">
        <v>362</v>
      </c>
      <c r="S1" s="303" t="s">
        <v>100</v>
      </c>
      <c r="T1" s="303" t="s">
        <v>112</v>
      </c>
      <c r="U1" s="303" t="s">
        <v>363</v>
      </c>
      <c r="V1" s="303" t="s">
        <v>364</v>
      </c>
      <c r="W1" s="303" t="s">
        <v>365</v>
      </c>
      <c r="X1" s="303" t="s">
        <v>86</v>
      </c>
      <c r="Y1" s="303" t="s">
        <v>113</v>
      </c>
      <c r="Z1" s="303" t="s">
        <v>366</v>
      </c>
      <c r="AA1" s="303" t="s">
        <v>367</v>
      </c>
      <c r="AB1" s="303" t="s">
        <v>368</v>
      </c>
      <c r="AC1" s="303" t="s">
        <v>369</v>
      </c>
      <c r="AD1" s="303" t="s">
        <v>370</v>
      </c>
      <c r="AE1" s="303" t="s">
        <v>371</v>
      </c>
      <c r="AF1" s="303" t="s">
        <v>372</v>
      </c>
      <c r="AG1" s="303" t="s">
        <v>99</v>
      </c>
      <c r="AH1" s="303" t="s">
        <v>373</v>
      </c>
    </row>
    <row r="2" spans="1:34" s="277" customFormat="1" ht="12.75">
      <c r="A2" s="303"/>
      <c r="B2" s="303"/>
      <c r="C2" s="303"/>
      <c r="D2" s="303" t="s">
        <v>428</v>
      </c>
      <c r="E2" s="303" t="s">
        <v>428</v>
      </c>
      <c r="F2" s="303" t="s">
        <v>428</v>
      </c>
      <c r="G2" s="303" t="s">
        <v>428</v>
      </c>
      <c r="H2" s="303" t="s">
        <v>428</v>
      </c>
      <c r="I2" s="303" t="s">
        <v>428</v>
      </c>
      <c r="J2" s="303" t="s">
        <v>428</v>
      </c>
      <c r="K2" s="303" t="s">
        <v>428</v>
      </c>
      <c r="L2" s="303" t="s">
        <v>428</v>
      </c>
      <c r="M2" s="303" t="s">
        <v>428</v>
      </c>
      <c r="N2" s="303" t="s">
        <v>428</v>
      </c>
      <c r="O2" s="303" t="s">
        <v>428</v>
      </c>
      <c r="P2" s="303" t="s">
        <v>428</v>
      </c>
      <c r="Q2" s="303" t="s">
        <v>428</v>
      </c>
      <c r="R2" s="303" t="s">
        <v>428</v>
      </c>
      <c r="S2" s="303" t="s">
        <v>428</v>
      </c>
      <c r="T2" s="303" t="s">
        <v>428</v>
      </c>
      <c r="U2" s="303" t="s">
        <v>428</v>
      </c>
      <c r="V2" s="303" t="s">
        <v>428</v>
      </c>
      <c r="W2" s="303" t="s">
        <v>428</v>
      </c>
      <c r="X2" s="303" t="s">
        <v>428</v>
      </c>
      <c r="Y2" s="303" t="s">
        <v>428</v>
      </c>
      <c r="Z2" s="303" t="s">
        <v>428</v>
      </c>
      <c r="AA2" s="303" t="s">
        <v>428</v>
      </c>
      <c r="AB2" s="303" t="s">
        <v>428</v>
      </c>
      <c r="AC2" s="303" t="s">
        <v>428</v>
      </c>
      <c r="AD2" s="303" t="s">
        <v>428</v>
      </c>
      <c r="AE2" s="303" t="s">
        <v>428</v>
      </c>
      <c r="AF2" s="303" t="s">
        <v>428</v>
      </c>
      <c r="AG2" s="303" t="s">
        <v>428</v>
      </c>
      <c r="AH2" s="303" t="s">
        <v>428</v>
      </c>
    </row>
    <row r="3" spans="1:34" ht="12.75">
      <c r="A3" s="183" t="s">
        <v>448</v>
      </c>
      <c r="B3" s="183" t="s">
        <v>345</v>
      </c>
      <c r="C3" s="304">
        <v>34031</v>
      </c>
      <c r="D3" s="183">
        <v>0.627</v>
      </c>
      <c r="E3" s="183"/>
      <c r="F3" s="183"/>
      <c r="G3" s="183">
        <v>11</v>
      </c>
      <c r="H3" s="183">
        <v>3.27</v>
      </c>
      <c r="I3" s="183" t="s">
        <v>321</v>
      </c>
      <c r="J3" s="183" t="s">
        <v>321</v>
      </c>
      <c r="K3" s="183" t="s">
        <v>321</v>
      </c>
      <c r="L3" s="183" t="s">
        <v>321</v>
      </c>
      <c r="M3" s="183" t="s">
        <v>321</v>
      </c>
      <c r="N3" s="183" t="s">
        <v>321</v>
      </c>
      <c r="O3" s="183" t="s">
        <v>321</v>
      </c>
      <c r="P3" s="183" t="s">
        <v>321</v>
      </c>
      <c r="Q3" s="183">
        <v>0.01</v>
      </c>
      <c r="R3" s="183" t="s">
        <v>321</v>
      </c>
      <c r="S3" s="183" t="s">
        <v>321</v>
      </c>
      <c r="T3" s="183">
        <v>2.86</v>
      </c>
      <c r="U3" s="183">
        <v>0.41</v>
      </c>
      <c r="V3" s="183">
        <v>8</v>
      </c>
      <c r="W3" s="183">
        <v>0.09</v>
      </c>
      <c r="X3" s="183">
        <v>0.59</v>
      </c>
      <c r="Y3" s="183">
        <v>0.84</v>
      </c>
      <c r="Z3" s="183">
        <v>0.02</v>
      </c>
      <c r="AA3" s="183">
        <v>0.65</v>
      </c>
      <c r="AB3" s="183">
        <v>1.09</v>
      </c>
      <c r="AC3" s="183">
        <v>0.33</v>
      </c>
      <c r="AD3" s="183">
        <v>0.04</v>
      </c>
      <c r="AE3" s="183" t="s">
        <v>321</v>
      </c>
      <c r="AF3" s="183" t="s">
        <v>294</v>
      </c>
      <c r="AG3" s="183">
        <v>4.03</v>
      </c>
      <c r="AH3" s="183">
        <v>0.21</v>
      </c>
    </row>
    <row r="4" spans="1:34" ht="12.75">
      <c r="A4" s="183" t="s">
        <v>448</v>
      </c>
      <c r="B4" s="183" t="s">
        <v>345</v>
      </c>
      <c r="C4" s="304">
        <v>34368</v>
      </c>
      <c r="D4" s="183"/>
      <c r="E4" s="183" t="s">
        <v>294</v>
      </c>
      <c r="F4" s="183">
        <v>2983</v>
      </c>
      <c r="G4" s="183">
        <v>13</v>
      </c>
      <c r="H4" s="183">
        <v>2.11</v>
      </c>
      <c r="I4" s="183" t="s">
        <v>321</v>
      </c>
      <c r="J4" s="183" t="s">
        <v>321</v>
      </c>
      <c r="K4" s="183">
        <v>0.26</v>
      </c>
      <c r="L4" s="183">
        <v>0.41</v>
      </c>
      <c r="M4" s="183" t="s">
        <v>321</v>
      </c>
      <c r="N4" s="183" t="s">
        <v>321</v>
      </c>
      <c r="O4" s="183" t="s">
        <v>321</v>
      </c>
      <c r="P4" s="183" t="s">
        <v>321</v>
      </c>
      <c r="Q4" s="183">
        <v>0.02</v>
      </c>
      <c r="R4" s="183" t="s">
        <v>321</v>
      </c>
      <c r="S4" s="183" t="s">
        <v>321</v>
      </c>
      <c r="T4" s="183">
        <v>1.42</v>
      </c>
      <c r="U4" s="183" t="s">
        <v>321</v>
      </c>
      <c r="V4" s="183">
        <v>11</v>
      </c>
      <c r="W4" s="183">
        <v>0.33</v>
      </c>
      <c r="X4" s="183">
        <v>0.98</v>
      </c>
      <c r="Y4" s="183">
        <v>1.6</v>
      </c>
      <c r="Z4" s="183">
        <v>0.04</v>
      </c>
      <c r="AA4" s="183">
        <v>0.89</v>
      </c>
      <c r="AB4" s="183">
        <v>1.41</v>
      </c>
      <c r="AC4" s="183">
        <v>0.59</v>
      </c>
      <c r="AD4" s="183">
        <v>0.03</v>
      </c>
      <c r="AE4" s="183" t="s">
        <v>321</v>
      </c>
      <c r="AF4" s="183" t="s">
        <v>294</v>
      </c>
      <c r="AG4" s="183">
        <v>4.91</v>
      </c>
      <c r="AH4" s="183">
        <v>0.52</v>
      </c>
    </row>
    <row r="5" spans="1:42" ht="12.75">
      <c r="A5" s="183" t="s">
        <v>448</v>
      </c>
      <c r="B5" s="183" t="s">
        <v>345</v>
      </c>
      <c r="C5" s="304">
        <v>34444</v>
      </c>
      <c r="D5" s="183"/>
      <c r="E5" s="183" t="s">
        <v>321</v>
      </c>
      <c r="F5" s="183">
        <v>793</v>
      </c>
      <c r="G5" s="183">
        <v>29</v>
      </c>
      <c r="H5" s="183">
        <v>2.74</v>
      </c>
      <c r="I5" s="183" t="s">
        <v>321</v>
      </c>
      <c r="J5" s="183" t="s">
        <v>321</v>
      </c>
      <c r="K5" s="183">
        <v>0.27</v>
      </c>
      <c r="L5" s="183" t="s">
        <v>321</v>
      </c>
      <c r="M5" s="183" t="s">
        <v>321</v>
      </c>
      <c r="N5" s="183" t="s">
        <v>321</v>
      </c>
      <c r="O5" s="183" t="s">
        <v>321</v>
      </c>
      <c r="P5" s="183" t="s">
        <v>321</v>
      </c>
      <c r="Q5" s="183">
        <v>0.17</v>
      </c>
      <c r="R5" s="183" t="s">
        <v>321</v>
      </c>
      <c r="S5" s="183" t="s">
        <v>321</v>
      </c>
      <c r="T5" s="183">
        <v>2.3</v>
      </c>
      <c r="U5" s="183" t="s">
        <v>321</v>
      </c>
      <c r="V5" s="183">
        <v>26</v>
      </c>
      <c r="W5" s="183">
        <v>1.18</v>
      </c>
      <c r="X5" s="183" t="s">
        <v>460</v>
      </c>
      <c r="Y5" s="183">
        <v>5.1</v>
      </c>
      <c r="Z5" s="183" t="s">
        <v>348</v>
      </c>
      <c r="AA5" s="183" t="s">
        <v>461</v>
      </c>
      <c r="AB5" s="183" t="s">
        <v>462</v>
      </c>
      <c r="AC5" s="183" t="s">
        <v>463</v>
      </c>
      <c r="AD5" s="183">
        <v>0.35</v>
      </c>
      <c r="AE5" s="183" t="s">
        <v>321</v>
      </c>
      <c r="AF5" s="183" t="s">
        <v>321</v>
      </c>
      <c r="AG5" s="183">
        <v>6.6</v>
      </c>
      <c r="AH5" s="183" t="s">
        <v>464</v>
      </c>
      <c r="AI5" s="19"/>
      <c r="AJ5" s="19"/>
      <c r="AK5" s="19"/>
      <c r="AL5" s="19"/>
      <c r="AM5" s="19"/>
      <c r="AN5" s="19"/>
      <c r="AO5" s="19"/>
      <c r="AP5" s="19"/>
    </row>
    <row r="6" spans="1:42" ht="12.75">
      <c r="A6" s="183" t="s">
        <v>448</v>
      </c>
      <c r="B6" s="183" t="s">
        <v>345</v>
      </c>
      <c r="C6" s="304">
        <v>34563</v>
      </c>
      <c r="D6" s="183"/>
      <c r="E6" s="183" t="s">
        <v>321</v>
      </c>
      <c r="F6" s="183">
        <v>136</v>
      </c>
      <c r="G6" s="183">
        <v>10</v>
      </c>
      <c r="H6" s="183">
        <v>1.2</v>
      </c>
      <c r="I6" s="183" t="s">
        <v>321</v>
      </c>
      <c r="J6" s="183" t="s">
        <v>321</v>
      </c>
      <c r="K6" s="183" t="s">
        <v>321</v>
      </c>
      <c r="L6" s="183" t="s">
        <v>321</v>
      </c>
      <c r="M6" s="183" t="s">
        <v>321</v>
      </c>
      <c r="N6" s="183" t="s">
        <v>321</v>
      </c>
      <c r="O6" s="183" t="s">
        <v>321</v>
      </c>
      <c r="P6" s="183" t="s">
        <v>321</v>
      </c>
      <c r="Q6" s="183">
        <v>0.08</v>
      </c>
      <c r="R6" s="183" t="s">
        <v>321</v>
      </c>
      <c r="S6" s="183" t="s">
        <v>321</v>
      </c>
      <c r="T6" s="183">
        <v>1.12</v>
      </c>
      <c r="U6" s="183" t="s">
        <v>294</v>
      </c>
      <c r="V6" s="183">
        <v>9</v>
      </c>
      <c r="W6" s="183" t="s">
        <v>321</v>
      </c>
      <c r="X6" s="183">
        <v>0.42</v>
      </c>
      <c r="Y6" s="183">
        <v>1.6</v>
      </c>
      <c r="Z6" s="183" t="s">
        <v>294</v>
      </c>
      <c r="AA6" s="183">
        <v>0.64</v>
      </c>
      <c r="AB6" s="183">
        <v>1</v>
      </c>
      <c r="AC6" s="183">
        <v>0.31</v>
      </c>
      <c r="AD6" s="183">
        <v>0.25</v>
      </c>
      <c r="AE6" s="183" t="s">
        <v>321</v>
      </c>
      <c r="AF6" s="183">
        <v>0.1</v>
      </c>
      <c r="AG6" s="183">
        <v>3.8</v>
      </c>
      <c r="AH6" s="183">
        <v>0.7</v>
      </c>
      <c r="AI6" s="19"/>
      <c r="AJ6" s="19"/>
      <c r="AK6" s="19"/>
      <c r="AL6" s="19"/>
      <c r="AM6" s="19"/>
      <c r="AN6" s="19"/>
      <c r="AO6" s="19"/>
      <c r="AP6" s="19"/>
    </row>
    <row r="7" spans="1:34" ht="12.75">
      <c r="A7" s="183" t="s">
        <v>448</v>
      </c>
      <c r="B7" s="183" t="s">
        <v>345</v>
      </c>
      <c r="C7" s="304">
        <v>34738</v>
      </c>
      <c r="D7" s="183"/>
      <c r="E7" s="183"/>
      <c r="F7" s="183">
        <v>208</v>
      </c>
      <c r="G7" s="183">
        <v>9</v>
      </c>
      <c r="H7" s="183">
        <v>1.56</v>
      </c>
      <c r="I7" s="183" t="s">
        <v>321</v>
      </c>
      <c r="J7" s="183" t="s">
        <v>321</v>
      </c>
      <c r="K7" s="183" t="s">
        <v>321</v>
      </c>
      <c r="L7" s="183" t="s">
        <v>321</v>
      </c>
      <c r="M7" s="183" t="s">
        <v>321</v>
      </c>
      <c r="N7" s="183" t="s">
        <v>321</v>
      </c>
      <c r="O7" s="183" t="s">
        <v>321</v>
      </c>
      <c r="P7" s="183" t="s">
        <v>321</v>
      </c>
      <c r="Q7" s="183" t="s">
        <v>294</v>
      </c>
      <c r="R7" s="183" t="s">
        <v>321</v>
      </c>
      <c r="S7" s="183" t="s">
        <v>321</v>
      </c>
      <c r="T7" s="183">
        <v>1.43</v>
      </c>
      <c r="U7" s="183">
        <v>0.13</v>
      </c>
      <c r="V7" s="183">
        <v>7</v>
      </c>
      <c r="W7" s="183">
        <v>0.06</v>
      </c>
      <c r="X7" s="183">
        <v>0.67</v>
      </c>
      <c r="Y7" s="183">
        <v>1.76</v>
      </c>
      <c r="Z7" s="183" t="s">
        <v>294</v>
      </c>
      <c r="AA7" s="183">
        <v>0.66</v>
      </c>
      <c r="AB7" s="183">
        <v>0.97</v>
      </c>
      <c r="AC7" s="183">
        <v>0.47</v>
      </c>
      <c r="AD7" s="183">
        <v>0.1</v>
      </c>
      <c r="AE7" s="183" t="s">
        <v>321</v>
      </c>
      <c r="AF7" s="183" t="s">
        <v>321</v>
      </c>
      <c r="AG7" s="183">
        <v>2.52</v>
      </c>
      <c r="AH7" s="183">
        <v>0.22</v>
      </c>
    </row>
    <row r="8" spans="1:34" ht="12.75">
      <c r="A8" s="183" t="s">
        <v>448</v>
      </c>
      <c r="B8" s="183" t="s">
        <v>345</v>
      </c>
      <c r="C8" s="304">
        <v>34816</v>
      </c>
      <c r="D8" s="183"/>
      <c r="E8" s="183"/>
      <c r="F8" s="183">
        <v>96</v>
      </c>
      <c r="G8" s="183">
        <v>14</v>
      </c>
      <c r="H8" s="183">
        <v>1.97</v>
      </c>
      <c r="I8" s="183" t="s">
        <v>321</v>
      </c>
      <c r="J8" s="183" t="s">
        <v>321</v>
      </c>
      <c r="K8" s="183" t="s">
        <v>321</v>
      </c>
      <c r="L8" s="183" t="s">
        <v>321</v>
      </c>
      <c r="M8" s="183" t="s">
        <v>321</v>
      </c>
      <c r="N8" s="183" t="s">
        <v>321</v>
      </c>
      <c r="O8" s="183" t="s">
        <v>321</v>
      </c>
      <c r="P8" s="183" t="s">
        <v>321</v>
      </c>
      <c r="Q8" s="183" t="s">
        <v>454</v>
      </c>
      <c r="R8" s="183" t="s">
        <v>321</v>
      </c>
      <c r="S8" s="183" t="s">
        <v>321</v>
      </c>
      <c r="T8" s="183">
        <v>1.97</v>
      </c>
      <c r="U8" s="183" t="s">
        <v>454</v>
      </c>
      <c r="V8" s="183">
        <v>12</v>
      </c>
      <c r="W8" s="183" t="s">
        <v>454</v>
      </c>
      <c r="X8" s="183">
        <v>1.14</v>
      </c>
      <c r="Y8" s="183">
        <v>1.1</v>
      </c>
      <c r="Z8" s="183" t="s">
        <v>454</v>
      </c>
      <c r="AA8" s="183">
        <v>1.6</v>
      </c>
      <c r="AB8" s="183">
        <v>2.2</v>
      </c>
      <c r="AC8" s="183">
        <v>0.62</v>
      </c>
      <c r="AD8" s="183">
        <v>0.39</v>
      </c>
      <c r="AE8" s="183" t="s">
        <v>321</v>
      </c>
      <c r="AF8" s="183" t="s">
        <v>321</v>
      </c>
      <c r="AG8" s="183">
        <v>2.7</v>
      </c>
      <c r="AH8" s="183">
        <v>2</v>
      </c>
    </row>
    <row r="9" spans="1:34" ht="12.75">
      <c r="A9" s="183" t="s">
        <v>448</v>
      </c>
      <c r="B9" s="183" t="s">
        <v>345</v>
      </c>
      <c r="C9" s="304">
        <v>34927</v>
      </c>
      <c r="D9" s="183"/>
      <c r="E9" s="183"/>
      <c r="F9" s="183">
        <v>105</v>
      </c>
      <c r="G9" s="183">
        <v>14</v>
      </c>
      <c r="H9" s="183">
        <v>2.97</v>
      </c>
      <c r="I9" s="183" t="s">
        <v>321</v>
      </c>
      <c r="J9" s="183" t="s">
        <v>321</v>
      </c>
      <c r="K9" s="183" t="s">
        <v>321</v>
      </c>
      <c r="L9" s="183" t="s">
        <v>321</v>
      </c>
      <c r="M9" s="183" t="s">
        <v>321</v>
      </c>
      <c r="N9" s="183" t="s">
        <v>321</v>
      </c>
      <c r="O9" s="183" t="s">
        <v>321</v>
      </c>
      <c r="P9" s="183" t="s">
        <v>321</v>
      </c>
      <c r="Q9" s="183" t="s">
        <v>454</v>
      </c>
      <c r="R9" s="183" t="s">
        <v>321</v>
      </c>
      <c r="S9" s="183" t="s">
        <v>321</v>
      </c>
      <c r="T9" s="183">
        <v>2.27</v>
      </c>
      <c r="U9" s="183">
        <v>0.7</v>
      </c>
      <c r="V9" s="183">
        <v>11</v>
      </c>
      <c r="W9" s="183">
        <v>0.39</v>
      </c>
      <c r="X9" s="183">
        <v>1.07</v>
      </c>
      <c r="Y9" s="183">
        <v>1.03</v>
      </c>
      <c r="Z9" s="183">
        <v>0.29</v>
      </c>
      <c r="AA9" s="183">
        <v>1.02</v>
      </c>
      <c r="AB9" s="183">
        <v>1.13</v>
      </c>
      <c r="AC9" s="183">
        <v>0.78</v>
      </c>
      <c r="AD9" s="183">
        <v>0.4</v>
      </c>
      <c r="AE9" s="183" t="s">
        <v>321</v>
      </c>
      <c r="AF9" s="183" t="s">
        <v>321</v>
      </c>
      <c r="AG9" s="183">
        <v>3.93</v>
      </c>
      <c r="AH9" s="183">
        <v>0.65</v>
      </c>
    </row>
    <row r="10" spans="1:34" ht="12.75">
      <c r="A10" s="183" t="s">
        <v>448</v>
      </c>
      <c r="B10" s="183" t="s">
        <v>345</v>
      </c>
      <c r="C10" s="304">
        <v>35102</v>
      </c>
      <c r="D10" s="183"/>
      <c r="E10" s="183"/>
      <c r="F10" s="183"/>
      <c r="G10" s="183">
        <v>37</v>
      </c>
      <c r="H10" s="183">
        <v>17.08</v>
      </c>
      <c r="I10" s="183">
        <v>1.4</v>
      </c>
      <c r="J10" s="183">
        <v>2.3</v>
      </c>
      <c r="K10" s="183">
        <v>0.88</v>
      </c>
      <c r="L10" s="183">
        <v>2.56</v>
      </c>
      <c r="M10" s="183">
        <v>0.26</v>
      </c>
      <c r="N10" s="183">
        <v>0.24</v>
      </c>
      <c r="O10" s="183">
        <v>0.69</v>
      </c>
      <c r="P10" s="183">
        <v>0.53</v>
      </c>
      <c r="Q10" s="183">
        <v>0.09</v>
      </c>
      <c r="R10" s="183">
        <v>0.22</v>
      </c>
      <c r="S10" s="183">
        <v>1.75</v>
      </c>
      <c r="T10" s="183">
        <v>5.1</v>
      </c>
      <c r="U10" s="183">
        <v>1.12</v>
      </c>
      <c r="V10" s="183">
        <v>20</v>
      </c>
      <c r="W10" s="183">
        <v>1.12</v>
      </c>
      <c r="X10" s="183">
        <v>1.48</v>
      </c>
      <c r="Y10" s="183">
        <v>4.1</v>
      </c>
      <c r="Z10" s="183">
        <v>0.04</v>
      </c>
      <c r="AA10" s="183">
        <v>2.5</v>
      </c>
      <c r="AB10" s="183">
        <v>1.86</v>
      </c>
      <c r="AC10" s="183">
        <v>1.48</v>
      </c>
      <c r="AD10" s="183">
        <v>0.64</v>
      </c>
      <c r="AE10" s="183" t="s">
        <v>294</v>
      </c>
      <c r="AF10" s="183" t="s">
        <v>294</v>
      </c>
      <c r="AG10" s="183">
        <v>4.7</v>
      </c>
      <c r="AH10" s="183">
        <v>2.5</v>
      </c>
    </row>
    <row r="11" spans="1:34" ht="12.75">
      <c r="A11" s="183" t="s">
        <v>448</v>
      </c>
      <c r="B11" s="183" t="s">
        <v>345</v>
      </c>
      <c r="C11" s="304">
        <v>35185</v>
      </c>
      <c r="D11" s="183"/>
      <c r="E11" s="183"/>
      <c r="F11" s="183"/>
      <c r="G11" s="183">
        <v>25</v>
      </c>
      <c r="H11" s="183">
        <v>12.14</v>
      </c>
      <c r="I11" s="183">
        <v>0.6</v>
      </c>
      <c r="J11" s="183">
        <v>1.1</v>
      </c>
      <c r="K11" s="183">
        <v>1.24</v>
      </c>
      <c r="L11" s="183" t="s">
        <v>465</v>
      </c>
      <c r="M11" s="183">
        <v>0.39</v>
      </c>
      <c r="N11" s="183">
        <v>0.19</v>
      </c>
      <c r="O11" s="183">
        <v>1.3</v>
      </c>
      <c r="P11" s="183">
        <v>0.22</v>
      </c>
      <c r="Q11" s="183" t="s">
        <v>294</v>
      </c>
      <c r="R11" s="183">
        <v>0.09</v>
      </c>
      <c r="S11" s="183">
        <v>2.08</v>
      </c>
      <c r="T11" s="183">
        <v>4.65</v>
      </c>
      <c r="U11" s="183">
        <v>0.28</v>
      </c>
      <c r="V11" s="183">
        <v>12</v>
      </c>
      <c r="W11" s="183">
        <v>0.79</v>
      </c>
      <c r="X11" s="183">
        <v>0.72</v>
      </c>
      <c r="Y11" s="183">
        <v>1.3</v>
      </c>
      <c r="Z11" s="183" t="s">
        <v>294</v>
      </c>
      <c r="AA11" s="183">
        <v>0.97</v>
      </c>
      <c r="AB11" s="183">
        <v>1.44</v>
      </c>
      <c r="AC11" s="183">
        <v>0.52</v>
      </c>
      <c r="AD11" s="183">
        <v>0.14</v>
      </c>
      <c r="AE11" s="183" t="s">
        <v>294</v>
      </c>
      <c r="AF11" s="183" t="s">
        <v>294</v>
      </c>
      <c r="AG11" s="183">
        <v>6</v>
      </c>
      <c r="AH11" s="183">
        <v>0.6</v>
      </c>
    </row>
    <row r="12" spans="1:34" ht="12.75">
      <c r="A12" s="183" t="s">
        <v>448</v>
      </c>
      <c r="B12" s="183" t="s">
        <v>345</v>
      </c>
      <c r="C12" s="304">
        <v>35272</v>
      </c>
      <c r="D12" s="183"/>
      <c r="E12" s="183"/>
      <c r="F12" s="183"/>
      <c r="G12" s="183" t="s">
        <v>321</v>
      </c>
      <c r="H12" s="183" t="s">
        <v>321</v>
      </c>
      <c r="I12" s="183" t="s">
        <v>321</v>
      </c>
      <c r="J12" s="183" t="s">
        <v>321</v>
      </c>
      <c r="K12" s="183" t="s">
        <v>321</v>
      </c>
      <c r="L12" s="183" t="s">
        <v>321</v>
      </c>
      <c r="M12" s="183" t="s">
        <v>321</v>
      </c>
      <c r="N12" s="183" t="s">
        <v>321</v>
      </c>
      <c r="O12" s="183" t="s">
        <v>321</v>
      </c>
      <c r="P12" s="183" t="s">
        <v>321</v>
      </c>
      <c r="Q12" s="183" t="s">
        <v>321</v>
      </c>
      <c r="R12" s="183" t="s">
        <v>321</v>
      </c>
      <c r="S12" s="183" t="s">
        <v>321</v>
      </c>
      <c r="T12" s="183" t="s">
        <v>321</v>
      </c>
      <c r="U12" s="183" t="s">
        <v>321</v>
      </c>
      <c r="V12" s="183" t="s">
        <v>321</v>
      </c>
      <c r="W12" s="183" t="s">
        <v>321</v>
      </c>
      <c r="X12" s="183" t="s">
        <v>321</v>
      </c>
      <c r="Y12" s="183" t="s">
        <v>321</v>
      </c>
      <c r="Z12" s="183" t="s">
        <v>321</v>
      </c>
      <c r="AA12" s="183" t="s">
        <v>321</v>
      </c>
      <c r="AB12" s="183" t="s">
        <v>321</v>
      </c>
      <c r="AC12" s="183" t="s">
        <v>321</v>
      </c>
      <c r="AD12" s="183" t="s">
        <v>321</v>
      </c>
      <c r="AE12" s="183" t="s">
        <v>321</v>
      </c>
      <c r="AF12" s="183" t="s">
        <v>321</v>
      </c>
      <c r="AG12" s="183" t="s">
        <v>321</v>
      </c>
      <c r="AH12" s="183" t="s">
        <v>321</v>
      </c>
    </row>
    <row r="13" spans="1:34" ht="12.75">
      <c r="A13" s="183" t="s">
        <v>448</v>
      </c>
      <c r="B13" s="183" t="s">
        <v>345</v>
      </c>
      <c r="C13" s="304">
        <v>35453</v>
      </c>
      <c r="D13" s="183"/>
      <c r="E13" s="183"/>
      <c r="F13" s="183"/>
      <c r="G13" s="183">
        <v>26</v>
      </c>
      <c r="H13" s="183">
        <v>11.93</v>
      </c>
      <c r="I13" s="183">
        <v>0.3</v>
      </c>
      <c r="J13" s="183">
        <v>0.4</v>
      </c>
      <c r="K13" s="183">
        <v>0.56</v>
      </c>
      <c r="L13" s="183">
        <v>0.87</v>
      </c>
      <c r="M13" s="183" t="s">
        <v>294</v>
      </c>
      <c r="N13" s="183" t="s">
        <v>294</v>
      </c>
      <c r="O13" s="183">
        <v>0.97</v>
      </c>
      <c r="P13" s="183" t="s">
        <v>294</v>
      </c>
      <c r="Q13" s="183" t="s">
        <v>294</v>
      </c>
      <c r="R13" s="183" t="s">
        <v>294</v>
      </c>
      <c r="S13" s="183">
        <v>1.85</v>
      </c>
      <c r="T13" s="183">
        <v>6</v>
      </c>
      <c r="U13" s="183">
        <v>0.95</v>
      </c>
      <c r="V13" s="183">
        <v>14</v>
      </c>
      <c r="W13" s="183">
        <v>1.14</v>
      </c>
      <c r="X13" s="183">
        <v>0.45</v>
      </c>
      <c r="Y13" s="183">
        <v>4</v>
      </c>
      <c r="Z13" s="183" t="s">
        <v>294</v>
      </c>
      <c r="AA13" s="183">
        <v>0.81</v>
      </c>
      <c r="AB13" s="183">
        <v>0.96</v>
      </c>
      <c r="AC13" s="183">
        <v>0.35</v>
      </c>
      <c r="AD13" s="183" t="s">
        <v>294</v>
      </c>
      <c r="AE13" s="183" t="s">
        <v>294</v>
      </c>
      <c r="AF13" s="183" t="s">
        <v>294</v>
      </c>
      <c r="AG13" s="183">
        <v>6.71</v>
      </c>
      <c r="AH13" s="183" t="s">
        <v>294</v>
      </c>
    </row>
    <row r="14" spans="1:34" ht="12.75">
      <c r="A14" s="183" t="s">
        <v>448</v>
      </c>
      <c r="B14" s="183" t="s">
        <v>345</v>
      </c>
      <c r="C14" s="304">
        <v>35534</v>
      </c>
      <c r="D14" s="183"/>
      <c r="E14" s="183"/>
      <c r="F14" s="183"/>
      <c r="G14" s="183">
        <v>24</v>
      </c>
      <c r="H14" s="183">
        <v>4.67</v>
      </c>
      <c r="I14" s="183">
        <v>0.2</v>
      </c>
      <c r="J14" s="183">
        <v>0.2</v>
      </c>
      <c r="K14" s="183">
        <v>0.19</v>
      </c>
      <c r="L14" s="183">
        <v>0.32</v>
      </c>
      <c r="M14" s="183" t="s">
        <v>294</v>
      </c>
      <c r="N14" s="183" t="s">
        <v>294</v>
      </c>
      <c r="O14" s="183">
        <v>0.77</v>
      </c>
      <c r="P14" s="183" t="s">
        <v>294</v>
      </c>
      <c r="Q14" s="183" t="s">
        <v>294</v>
      </c>
      <c r="R14" s="183">
        <v>0.15</v>
      </c>
      <c r="S14" s="183">
        <v>0.65</v>
      </c>
      <c r="T14" s="183">
        <v>2.25</v>
      </c>
      <c r="U14" s="183" t="s">
        <v>294</v>
      </c>
      <c r="V14" s="183">
        <v>19</v>
      </c>
      <c r="W14" s="183">
        <v>1.9</v>
      </c>
      <c r="X14" s="183">
        <v>0.99</v>
      </c>
      <c r="Y14" s="183">
        <v>3.29</v>
      </c>
      <c r="Z14" s="183" t="s">
        <v>294</v>
      </c>
      <c r="AA14" s="183">
        <v>1.8</v>
      </c>
      <c r="AB14" s="183">
        <v>2.4</v>
      </c>
      <c r="AC14" s="183">
        <v>0.81</v>
      </c>
      <c r="AD14" s="183">
        <v>0.25</v>
      </c>
      <c r="AE14" s="183" t="s">
        <v>294</v>
      </c>
      <c r="AF14" s="183">
        <v>2.7</v>
      </c>
      <c r="AG14" s="183">
        <v>2.8</v>
      </c>
      <c r="AH14" s="183">
        <v>2.4</v>
      </c>
    </row>
    <row r="15" spans="1:34" ht="12.75">
      <c r="A15" s="183" t="s">
        <v>448</v>
      </c>
      <c r="B15" s="183" t="s">
        <v>345</v>
      </c>
      <c r="C15" s="304">
        <v>35641</v>
      </c>
      <c r="D15" s="183"/>
      <c r="E15" s="183"/>
      <c r="F15" s="183"/>
      <c r="G15" s="183">
        <v>24</v>
      </c>
      <c r="H15" s="183">
        <v>7.27</v>
      </c>
      <c r="I15" s="183">
        <v>0.2</v>
      </c>
      <c r="J15" s="183">
        <v>0.4</v>
      </c>
      <c r="K15" s="183">
        <v>0.18</v>
      </c>
      <c r="L15" s="183">
        <v>0.21</v>
      </c>
      <c r="M15" s="183">
        <v>0.13</v>
      </c>
      <c r="N15" s="183">
        <v>0.12</v>
      </c>
      <c r="O15" s="183">
        <v>1.5</v>
      </c>
      <c r="P15" s="183">
        <v>0.17</v>
      </c>
      <c r="Q15" s="183">
        <v>0.44</v>
      </c>
      <c r="R15" s="183">
        <v>0.2</v>
      </c>
      <c r="S15" s="183">
        <v>1.1</v>
      </c>
      <c r="T15" s="183">
        <v>2.39</v>
      </c>
      <c r="U15" s="183">
        <v>0.23</v>
      </c>
      <c r="V15" s="183">
        <v>17</v>
      </c>
      <c r="W15" s="183">
        <v>1.34</v>
      </c>
      <c r="X15" s="183">
        <v>0.79</v>
      </c>
      <c r="Y15" s="183">
        <v>3.9</v>
      </c>
      <c r="Z15" s="183" t="s">
        <v>294</v>
      </c>
      <c r="AA15" s="183">
        <v>0.96</v>
      </c>
      <c r="AB15" s="183">
        <v>1.4</v>
      </c>
      <c r="AC15" s="183">
        <v>0.44</v>
      </c>
      <c r="AD15" s="183">
        <v>0.12</v>
      </c>
      <c r="AE15" s="183" t="s">
        <v>294</v>
      </c>
      <c r="AF15" s="183" t="s">
        <v>294</v>
      </c>
      <c r="AG15" s="183">
        <v>7</v>
      </c>
      <c r="AH15" s="183">
        <v>0.68</v>
      </c>
    </row>
    <row r="16" spans="1:34" ht="12.75">
      <c r="A16" s="183" t="s">
        <v>448</v>
      </c>
      <c r="B16" s="183" t="s">
        <v>345</v>
      </c>
      <c r="C16" s="304">
        <v>35824</v>
      </c>
      <c r="D16" s="183"/>
      <c r="E16" s="183"/>
      <c r="F16" s="183"/>
      <c r="G16" s="183">
        <v>52</v>
      </c>
      <c r="H16" s="183">
        <v>10.3</v>
      </c>
      <c r="I16" s="183" t="s">
        <v>294</v>
      </c>
      <c r="J16" s="183" t="s">
        <v>294</v>
      </c>
      <c r="K16" s="183" t="s">
        <v>294</v>
      </c>
      <c r="L16" s="183" t="s">
        <v>294</v>
      </c>
      <c r="M16" s="183" t="s">
        <v>294</v>
      </c>
      <c r="N16" s="183" t="s">
        <v>294</v>
      </c>
      <c r="O16" s="183">
        <v>1.4</v>
      </c>
      <c r="P16" s="183">
        <v>0.3</v>
      </c>
      <c r="Q16" s="183">
        <v>0.5</v>
      </c>
      <c r="R16" s="183">
        <v>0.3</v>
      </c>
      <c r="S16" s="183">
        <v>1.8</v>
      </c>
      <c r="T16" s="183">
        <v>6.1</v>
      </c>
      <c r="U16" s="183" t="s">
        <v>466</v>
      </c>
      <c r="V16" s="183">
        <v>41</v>
      </c>
      <c r="W16" s="183">
        <v>5.3</v>
      </c>
      <c r="X16" s="183">
        <v>2.4</v>
      </c>
      <c r="Y16" s="183" t="s">
        <v>467</v>
      </c>
      <c r="Z16" s="183" t="s">
        <v>294</v>
      </c>
      <c r="AA16" s="183">
        <v>3.2</v>
      </c>
      <c r="AB16" s="183">
        <v>4.6</v>
      </c>
      <c r="AC16" s="183">
        <v>1.5</v>
      </c>
      <c r="AD16" s="183">
        <v>0.6</v>
      </c>
      <c r="AE16" s="183" t="s">
        <v>294</v>
      </c>
      <c r="AF16" s="183">
        <v>0.38</v>
      </c>
      <c r="AG16" s="183">
        <v>11</v>
      </c>
      <c r="AH16" s="183">
        <v>4</v>
      </c>
    </row>
    <row r="17" spans="1:34" ht="12.75">
      <c r="A17" s="183" t="s">
        <v>448</v>
      </c>
      <c r="B17" s="183" t="s">
        <v>345</v>
      </c>
      <c r="C17" s="304">
        <v>35905</v>
      </c>
      <c r="D17" s="183"/>
      <c r="E17" s="183"/>
      <c r="F17" s="183"/>
      <c r="G17" s="183" t="s">
        <v>468</v>
      </c>
      <c r="H17" s="183" t="s">
        <v>468</v>
      </c>
      <c r="I17" s="183" t="s">
        <v>469</v>
      </c>
      <c r="J17" s="183" t="s">
        <v>294</v>
      </c>
      <c r="K17" s="183" t="s">
        <v>294</v>
      </c>
      <c r="L17" s="183" t="s">
        <v>294</v>
      </c>
      <c r="M17" s="183" t="s">
        <v>466</v>
      </c>
      <c r="N17" s="183" t="s">
        <v>466</v>
      </c>
      <c r="O17" s="183" t="s">
        <v>466</v>
      </c>
      <c r="P17" s="183" t="s">
        <v>294</v>
      </c>
      <c r="Q17" s="183" t="s">
        <v>466</v>
      </c>
      <c r="R17" s="183" t="s">
        <v>294</v>
      </c>
      <c r="S17" s="183" t="s">
        <v>466</v>
      </c>
      <c r="T17" s="183" t="s">
        <v>470</v>
      </c>
      <c r="U17" s="183" t="s">
        <v>471</v>
      </c>
      <c r="V17" s="183">
        <v>26</v>
      </c>
      <c r="W17" s="183" t="s">
        <v>470</v>
      </c>
      <c r="X17" s="183">
        <v>0.65</v>
      </c>
      <c r="Y17" s="183" t="s">
        <v>472</v>
      </c>
      <c r="Z17" s="183" t="s">
        <v>294</v>
      </c>
      <c r="AA17" s="183">
        <v>1.2</v>
      </c>
      <c r="AB17" s="183">
        <v>2.1</v>
      </c>
      <c r="AC17" s="183">
        <v>0.57</v>
      </c>
      <c r="AD17" s="183" t="s">
        <v>294</v>
      </c>
      <c r="AE17" s="183" t="s">
        <v>294</v>
      </c>
      <c r="AF17" s="183">
        <v>0.93</v>
      </c>
      <c r="AG17" s="183" t="s">
        <v>466</v>
      </c>
      <c r="AH17" s="183">
        <v>1.6</v>
      </c>
    </row>
    <row r="18" spans="1:34" ht="12.75">
      <c r="A18" s="183" t="s">
        <v>448</v>
      </c>
      <c r="B18" s="183" t="s">
        <v>345</v>
      </c>
      <c r="C18" s="304">
        <v>35998</v>
      </c>
      <c r="D18" s="183"/>
      <c r="E18" s="183"/>
      <c r="F18" s="183"/>
      <c r="G18" s="183" t="s">
        <v>468</v>
      </c>
      <c r="H18" s="183" t="s">
        <v>468</v>
      </c>
      <c r="I18" s="183" t="s">
        <v>294</v>
      </c>
      <c r="J18" s="183" t="s">
        <v>294</v>
      </c>
      <c r="K18" s="183" t="s">
        <v>294</v>
      </c>
      <c r="L18" s="183">
        <v>0.44</v>
      </c>
      <c r="M18" s="183" t="s">
        <v>294</v>
      </c>
      <c r="N18" s="183" t="s">
        <v>294</v>
      </c>
      <c r="O18" s="183">
        <v>1.4</v>
      </c>
      <c r="P18" s="183" t="s">
        <v>294</v>
      </c>
      <c r="Q18" s="183" t="s">
        <v>294</v>
      </c>
      <c r="R18" s="183" t="s">
        <v>294</v>
      </c>
      <c r="S18" s="183">
        <v>1.4</v>
      </c>
      <c r="T18" s="183" t="s">
        <v>470</v>
      </c>
      <c r="U18" s="183" t="s">
        <v>294</v>
      </c>
      <c r="V18" s="183">
        <v>9</v>
      </c>
      <c r="W18" s="183" t="s">
        <v>470</v>
      </c>
      <c r="X18" s="183">
        <v>0.41</v>
      </c>
      <c r="Y18" s="183" t="s">
        <v>466</v>
      </c>
      <c r="Z18" s="183" t="s">
        <v>294</v>
      </c>
      <c r="AA18" s="183">
        <v>0.48</v>
      </c>
      <c r="AB18" s="183">
        <v>0.8</v>
      </c>
      <c r="AC18" s="183" t="s">
        <v>294</v>
      </c>
      <c r="AD18" s="183" t="s">
        <v>294</v>
      </c>
      <c r="AE18" s="183" t="s">
        <v>294</v>
      </c>
      <c r="AF18" s="183" t="s">
        <v>294</v>
      </c>
      <c r="AG18" s="183" t="s">
        <v>473</v>
      </c>
      <c r="AH18" s="183" t="s">
        <v>294</v>
      </c>
    </row>
    <row r="19" spans="1:34" ht="12.75">
      <c r="A19" s="183" t="s">
        <v>448</v>
      </c>
      <c r="B19" s="183" t="s">
        <v>345</v>
      </c>
      <c r="C19" s="304">
        <v>36195</v>
      </c>
      <c r="D19" s="183"/>
      <c r="E19" s="183"/>
      <c r="F19" s="183"/>
      <c r="G19" s="183">
        <v>17</v>
      </c>
      <c r="H19" s="183">
        <v>0.8</v>
      </c>
      <c r="I19" s="183" t="s">
        <v>294</v>
      </c>
      <c r="J19" s="183" t="s">
        <v>294</v>
      </c>
      <c r="K19" s="183" t="s">
        <v>294</v>
      </c>
      <c r="L19" s="183">
        <v>0.23</v>
      </c>
      <c r="M19" s="183" t="s">
        <v>294</v>
      </c>
      <c r="N19" s="183" t="s">
        <v>294</v>
      </c>
      <c r="O19" s="183">
        <v>0.13</v>
      </c>
      <c r="P19" s="183" t="s">
        <v>294</v>
      </c>
      <c r="Q19" s="183" t="s">
        <v>294</v>
      </c>
      <c r="R19" s="183" t="s">
        <v>294</v>
      </c>
      <c r="S19" s="183">
        <v>0.24</v>
      </c>
      <c r="T19" s="183" t="s">
        <v>321</v>
      </c>
      <c r="U19" s="183">
        <v>0.2</v>
      </c>
      <c r="V19" s="183">
        <v>16</v>
      </c>
      <c r="W19" s="183">
        <v>2.6</v>
      </c>
      <c r="X19" s="183">
        <v>1.1</v>
      </c>
      <c r="Y19" s="183">
        <v>3.4</v>
      </c>
      <c r="Z19" s="183" t="s">
        <v>294</v>
      </c>
      <c r="AA19" s="183">
        <v>1.4</v>
      </c>
      <c r="AB19" s="183">
        <v>1.8</v>
      </c>
      <c r="AC19" s="183">
        <v>0.7</v>
      </c>
      <c r="AD19" s="183">
        <v>0.2</v>
      </c>
      <c r="AE19" s="183" t="s">
        <v>294</v>
      </c>
      <c r="AF19" s="183">
        <v>0.2</v>
      </c>
      <c r="AG19" s="183">
        <v>3.9</v>
      </c>
      <c r="AH19" s="183">
        <v>0.9</v>
      </c>
    </row>
    <row r="20" spans="1:34" ht="12.75">
      <c r="A20" s="183" t="s">
        <v>448</v>
      </c>
      <c r="B20" s="183" t="s">
        <v>345</v>
      </c>
      <c r="C20" s="304">
        <v>36264</v>
      </c>
      <c r="D20" s="183"/>
      <c r="E20" s="183"/>
      <c r="F20" s="183"/>
      <c r="G20" s="183">
        <v>20</v>
      </c>
      <c r="H20" s="183">
        <v>4.7</v>
      </c>
      <c r="I20" s="183">
        <v>0.2</v>
      </c>
      <c r="J20" s="183">
        <v>0.29</v>
      </c>
      <c r="K20" s="183" t="s">
        <v>294</v>
      </c>
      <c r="L20" s="183">
        <v>0.44</v>
      </c>
      <c r="M20" s="183" t="s">
        <v>294</v>
      </c>
      <c r="N20" s="183" t="s">
        <v>294</v>
      </c>
      <c r="O20" s="183">
        <v>0.24</v>
      </c>
      <c r="P20" s="183" t="s">
        <v>294</v>
      </c>
      <c r="Q20" s="183" t="s">
        <v>294</v>
      </c>
      <c r="R20" s="183" t="s">
        <v>294</v>
      </c>
      <c r="S20" s="183">
        <v>0.6</v>
      </c>
      <c r="T20" s="183">
        <v>2.5</v>
      </c>
      <c r="U20" s="183">
        <v>0.5</v>
      </c>
      <c r="V20" s="183">
        <v>15</v>
      </c>
      <c r="W20" s="183">
        <v>0.2</v>
      </c>
      <c r="X20" s="183">
        <v>1.1</v>
      </c>
      <c r="Y20" s="183">
        <v>3.4</v>
      </c>
      <c r="Z20" s="183" t="s">
        <v>294</v>
      </c>
      <c r="AA20" s="183">
        <v>1.8</v>
      </c>
      <c r="AB20" s="183">
        <v>2.7</v>
      </c>
      <c r="AC20" s="183">
        <v>0.9</v>
      </c>
      <c r="AD20" s="183">
        <v>0.2</v>
      </c>
      <c r="AE20" s="183" t="s">
        <v>294</v>
      </c>
      <c r="AF20" s="183" t="s">
        <v>294</v>
      </c>
      <c r="AG20" s="183">
        <v>3.4</v>
      </c>
      <c r="AH20" s="183">
        <v>1.6</v>
      </c>
    </row>
    <row r="21" spans="1:34" ht="12.75">
      <c r="A21" s="183" t="s">
        <v>448</v>
      </c>
      <c r="B21" s="183" t="s">
        <v>345</v>
      </c>
      <c r="C21" s="304">
        <v>36357</v>
      </c>
      <c r="D21" s="183"/>
      <c r="E21" s="183"/>
      <c r="F21" s="183"/>
      <c r="G21" s="183">
        <v>34</v>
      </c>
      <c r="H21" s="183">
        <v>6.8</v>
      </c>
      <c r="I21" s="183" t="s">
        <v>457</v>
      </c>
      <c r="J21" s="183">
        <v>0.24</v>
      </c>
      <c r="K21" s="183">
        <v>0.4</v>
      </c>
      <c r="L21" s="183" t="s">
        <v>466</v>
      </c>
      <c r="M21" s="183">
        <v>0.47</v>
      </c>
      <c r="N21" s="183" t="s">
        <v>294</v>
      </c>
      <c r="O21" s="183">
        <v>0.88</v>
      </c>
      <c r="P21" s="183">
        <v>0.11</v>
      </c>
      <c r="Q21" s="183">
        <v>0.35</v>
      </c>
      <c r="R21" s="183">
        <v>0.37</v>
      </c>
      <c r="S21" s="183">
        <v>1.1</v>
      </c>
      <c r="T21" s="183" t="s">
        <v>474</v>
      </c>
      <c r="U21" s="183" t="s">
        <v>457</v>
      </c>
      <c r="V21" s="183">
        <v>27</v>
      </c>
      <c r="W21" s="183">
        <v>1.7</v>
      </c>
      <c r="X21" s="183">
        <v>1.8</v>
      </c>
      <c r="Y21" s="183" t="s">
        <v>475</v>
      </c>
      <c r="Z21" s="183" t="s">
        <v>294</v>
      </c>
      <c r="AA21" s="183">
        <v>2.9</v>
      </c>
      <c r="AB21" s="183">
        <v>4.2</v>
      </c>
      <c r="AC21" s="183">
        <v>1.4</v>
      </c>
      <c r="AD21" s="183">
        <v>0.4</v>
      </c>
      <c r="AE21" s="183" t="s">
        <v>294</v>
      </c>
      <c r="AF21" s="183" t="s">
        <v>294</v>
      </c>
      <c r="AG21" s="183">
        <v>6.3</v>
      </c>
      <c r="AH21" s="183">
        <v>3.1</v>
      </c>
    </row>
    <row r="22" spans="1:34" ht="12.75">
      <c r="A22" s="183" t="s">
        <v>448</v>
      </c>
      <c r="B22" s="183" t="s">
        <v>345</v>
      </c>
      <c r="C22" s="304">
        <v>36721</v>
      </c>
      <c r="D22" s="183"/>
      <c r="E22" s="183"/>
      <c r="F22" s="183"/>
      <c r="G22" s="183">
        <v>13.28</v>
      </c>
      <c r="H22" s="183">
        <v>1.8</v>
      </c>
      <c r="I22" s="183" t="s">
        <v>294</v>
      </c>
      <c r="J22" s="183" t="s">
        <v>294</v>
      </c>
      <c r="K22" s="183" t="s">
        <v>294</v>
      </c>
      <c r="L22" s="183" t="s">
        <v>294</v>
      </c>
      <c r="M22" s="183" t="s">
        <v>294</v>
      </c>
      <c r="N22" s="183" t="s">
        <v>294</v>
      </c>
      <c r="O22" s="183" t="s">
        <v>294</v>
      </c>
      <c r="P22" s="183" t="s">
        <v>294</v>
      </c>
      <c r="Q22" s="183" t="s">
        <v>294</v>
      </c>
      <c r="R22" s="183" t="s">
        <v>294</v>
      </c>
      <c r="S22" s="183">
        <v>0.38</v>
      </c>
      <c r="T22" s="183">
        <v>1.42</v>
      </c>
      <c r="U22" s="183" t="s">
        <v>294</v>
      </c>
      <c r="V22" s="183">
        <v>11.48</v>
      </c>
      <c r="W22" s="183">
        <v>1.3</v>
      </c>
      <c r="X22" s="183">
        <v>0.67</v>
      </c>
      <c r="Y22" s="183">
        <v>2.18</v>
      </c>
      <c r="Z22" s="183" t="s">
        <v>294</v>
      </c>
      <c r="AA22" s="183">
        <v>1.2</v>
      </c>
      <c r="AB22" s="183">
        <v>1.9</v>
      </c>
      <c r="AC22" s="183">
        <v>0.57</v>
      </c>
      <c r="AD22" s="183" t="s">
        <v>294</v>
      </c>
      <c r="AE22" s="183" t="s">
        <v>294</v>
      </c>
      <c r="AF22" s="183" t="s">
        <v>294</v>
      </c>
      <c r="AG22" s="183">
        <v>3</v>
      </c>
      <c r="AH22" s="183">
        <v>0.66</v>
      </c>
    </row>
    <row r="23" spans="1:34" ht="12.75">
      <c r="A23" s="183" t="s">
        <v>448</v>
      </c>
      <c r="B23" s="183" t="s">
        <v>345</v>
      </c>
      <c r="C23" s="304">
        <v>37106</v>
      </c>
      <c r="D23" s="183"/>
      <c r="E23" s="183"/>
      <c r="F23" s="183"/>
      <c r="G23" s="183">
        <v>19</v>
      </c>
      <c r="H23" s="183">
        <v>4.4</v>
      </c>
      <c r="I23" s="183">
        <v>1.2</v>
      </c>
      <c r="J23" s="183" t="s">
        <v>453</v>
      </c>
      <c r="K23" s="183" t="s">
        <v>453</v>
      </c>
      <c r="L23" s="183" t="s">
        <v>453</v>
      </c>
      <c r="M23" s="183" t="s">
        <v>453</v>
      </c>
      <c r="N23" s="183" t="s">
        <v>453</v>
      </c>
      <c r="O23" s="183" t="s">
        <v>453</v>
      </c>
      <c r="P23" s="183" t="s">
        <v>453</v>
      </c>
      <c r="Q23" s="183" t="s">
        <v>453</v>
      </c>
      <c r="R23" s="183" t="s">
        <v>453</v>
      </c>
      <c r="S23" s="183">
        <v>0.62</v>
      </c>
      <c r="T23" s="183">
        <v>2.6</v>
      </c>
      <c r="U23" s="183" t="s">
        <v>453</v>
      </c>
      <c r="V23" s="183">
        <v>14</v>
      </c>
      <c r="W23" s="183">
        <v>1.8</v>
      </c>
      <c r="X23" s="183">
        <v>0.81</v>
      </c>
      <c r="Y23" s="183">
        <v>2.9</v>
      </c>
      <c r="Z23" s="183" t="s">
        <v>453</v>
      </c>
      <c r="AA23" s="183">
        <v>1.3</v>
      </c>
      <c r="AB23" s="183">
        <v>2.1</v>
      </c>
      <c r="AC23" s="183">
        <v>0.62</v>
      </c>
      <c r="AD23" s="183" t="s">
        <v>453</v>
      </c>
      <c r="AE23" s="183" t="s">
        <v>453</v>
      </c>
      <c r="AF23" s="183" t="s">
        <v>453</v>
      </c>
      <c r="AG23" s="183">
        <v>3.5</v>
      </c>
      <c r="AH23" s="183">
        <v>1.4</v>
      </c>
    </row>
    <row r="24" spans="1:34" ht="12.75">
      <c r="A24" s="183"/>
      <c r="B24" s="305" t="s">
        <v>402</v>
      </c>
      <c r="C24" s="304"/>
      <c r="D24" s="305">
        <f>MAX(D3:D23)</f>
        <v>0.627</v>
      </c>
      <c r="E24" s="305">
        <f>MAX(E3:E23)</f>
        <v>0</v>
      </c>
      <c r="F24" s="305">
        <f>MAX(F3:F23)</f>
        <v>2983</v>
      </c>
      <c r="G24" s="305">
        <f aca="true" t="shared" si="0" ref="G24:AH24">MAX(G3:G23)</f>
        <v>52</v>
      </c>
      <c r="H24" s="305">
        <f t="shared" si="0"/>
        <v>17.08</v>
      </c>
      <c r="I24" s="305">
        <f t="shared" si="0"/>
        <v>1.4</v>
      </c>
      <c r="J24" s="305">
        <f t="shared" si="0"/>
        <v>2.3</v>
      </c>
      <c r="K24" s="305">
        <f t="shared" si="0"/>
        <v>1.24</v>
      </c>
      <c r="L24" s="305">
        <f t="shared" si="0"/>
        <v>2.56</v>
      </c>
      <c r="M24" s="305">
        <f t="shared" si="0"/>
        <v>0.47</v>
      </c>
      <c r="N24" s="305">
        <f t="shared" si="0"/>
        <v>0.24</v>
      </c>
      <c r="O24" s="305">
        <f t="shared" si="0"/>
        <v>1.5</v>
      </c>
      <c r="P24" s="305">
        <f t="shared" si="0"/>
        <v>0.53</v>
      </c>
      <c r="Q24" s="305">
        <f t="shared" si="0"/>
        <v>0.5</v>
      </c>
      <c r="R24" s="305">
        <f t="shared" si="0"/>
        <v>0.37</v>
      </c>
      <c r="S24" s="305">
        <f t="shared" si="0"/>
        <v>2.08</v>
      </c>
      <c r="T24" s="305">
        <f t="shared" si="0"/>
        <v>6.1</v>
      </c>
      <c r="U24" s="305">
        <f t="shared" si="0"/>
        <v>1.12</v>
      </c>
      <c r="V24" s="305">
        <f t="shared" si="0"/>
        <v>41</v>
      </c>
      <c r="W24" s="305">
        <f t="shared" si="0"/>
        <v>5.3</v>
      </c>
      <c r="X24" s="305">
        <f t="shared" si="0"/>
        <v>2.4</v>
      </c>
      <c r="Y24" s="305">
        <f t="shared" si="0"/>
        <v>5.1</v>
      </c>
      <c r="Z24" s="305">
        <f t="shared" si="0"/>
        <v>0.29</v>
      </c>
      <c r="AA24" s="305">
        <f t="shared" si="0"/>
        <v>3.2</v>
      </c>
      <c r="AB24" s="305">
        <f t="shared" si="0"/>
        <v>4.6</v>
      </c>
      <c r="AC24" s="305">
        <f t="shared" si="0"/>
        <v>1.5</v>
      </c>
      <c r="AD24" s="305">
        <f t="shared" si="0"/>
        <v>0.64</v>
      </c>
      <c r="AE24" s="305">
        <f t="shared" si="0"/>
        <v>0</v>
      </c>
      <c r="AF24" s="305">
        <f t="shared" si="0"/>
        <v>2.7</v>
      </c>
      <c r="AG24" s="305">
        <f t="shared" si="0"/>
        <v>11</v>
      </c>
      <c r="AH24" s="305">
        <f t="shared" si="0"/>
        <v>4</v>
      </c>
    </row>
    <row r="25" spans="1:34" s="49" customFormat="1" ht="12.75">
      <c r="A25" s="309"/>
      <c r="B25" s="310" t="s">
        <v>315</v>
      </c>
      <c r="C25" s="309"/>
      <c r="D25" s="310">
        <f>AVERAGE(D3:D24)</f>
        <v>0.627</v>
      </c>
      <c r="E25" s="310">
        <f aca="true" t="shared" si="1" ref="E25:AH25">AVERAGE(E3:E24)</f>
        <v>0</v>
      </c>
      <c r="F25" s="310">
        <f t="shared" si="1"/>
        <v>1043.4285714285713</v>
      </c>
      <c r="G25" s="310">
        <f t="shared" si="1"/>
        <v>23.330526315789474</v>
      </c>
      <c r="H25" s="310">
        <f t="shared" si="1"/>
        <v>6.0415789473684205</v>
      </c>
      <c r="I25" s="310">
        <f t="shared" si="1"/>
        <v>0.6875</v>
      </c>
      <c r="J25" s="310">
        <f t="shared" si="1"/>
        <v>0.90375</v>
      </c>
      <c r="K25" s="310">
        <f t="shared" si="1"/>
        <v>0.5800000000000001</v>
      </c>
      <c r="L25" s="310">
        <f t="shared" si="1"/>
        <v>0.8933333333333334</v>
      </c>
      <c r="M25" s="310">
        <f t="shared" si="1"/>
        <v>0.344</v>
      </c>
      <c r="N25" s="310">
        <f t="shared" si="1"/>
        <v>0.1975</v>
      </c>
      <c r="O25" s="310">
        <f t="shared" si="1"/>
        <v>0.9800000000000003</v>
      </c>
      <c r="P25" s="310">
        <f t="shared" si="1"/>
        <v>0.31</v>
      </c>
      <c r="Q25" s="310">
        <f t="shared" si="1"/>
        <v>0.24000000000000002</v>
      </c>
      <c r="R25" s="310">
        <f t="shared" si="1"/>
        <v>0.24285714285714288</v>
      </c>
      <c r="S25" s="310">
        <f t="shared" si="1"/>
        <v>1.2038461538461538</v>
      </c>
      <c r="T25" s="310">
        <f t="shared" si="1"/>
        <v>3.087058823529412</v>
      </c>
      <c r="U25" s="310">
        <f t="shared" si="1"/>
        <v>0.5640000000000001</v>
      </c>
      <c r="V25" s="310">
        <f t="shared" si="1"/>
        <v>17.451428571428572</v>
      </c>
      <c r="W25" s="310">
        <f t="shared" si="1"/>
        <v>1.5611764705882354</v>
      </c>
      <c r="X25" s="310">
        <f t="shared" si="1"/>
        <v>1.032</v>
      </c>
      <c r="Y25" s="310">
        <f t="shared" si="1"/>
        <v>2.741176470588235</v>
      </c>
      <c r="Z25" s="310">
        <f t="shared" si="1"/>
        <v>0.13599999999999998</v>
      </c>
      <c r="AA25" s="310">
        <f t="shared" si="1"/>
        <v>1.459</v>
      </c>
      <c r="AB25" s="310">
        <f t="shared" si="1"/>
        <v>2.0330000000000004</v>
      </c>
      <c r="AC25" s="310">
        <f t="shared" si="1"/>
        <v>0.7610526315789473</v>
      </c>
      <c r="AD25" s="310">
        <f t="shared" si="1"/>
        <v>0.29687500000000006</v>
      </c>
      <c r="AE25" s="310">
        <f t="shared" si="1"/>
        <v>0</v>
      </c>
      <c r="AF25" s="310">
        <f t="shared" si="1"/>
        <v>1.1683333333333334</v>
      </c>
      <c r="AG25" s="310">
        <f t="shared" si="1"/>
        <v>5.147368421052631</v>
      </c>
      <c r="AH25" s="310">
        <f t="shared" si="1"/>
        <v>1.541111111111111</v>
      </c>
    </row>
  </sheetData>
  <conditionalFormatting sqref="D3:AH23">
    <cfRule type="expression" priority="1" dxfId="0" stopIfTrue="1">
      <formula>IF(LEFT(D3,1)="e",1,0)</formula>
    </cfRule>
  </conditionalFormatting>
  <printOptions/>
  <pageMargins left="0.75" right="0.75" top="1" bottom="1" header="0.5" footer="0.5"/>
  <pageSetup horizontalDpi="600" verticalDpi="600" orientation="landscape" scale="85" r:id="rId1"/>
  <headerFooter alignWithMargins="0">
    <oddHeader>&amp;CRMP Yerba Buena Total PAHs
</oddHeader>
    <oddFooter>&amp;C&amp;P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M25"/>
  <sheetViews>
    <sheetView workbookViewId="0" topLeftCell="A1">
      <pane xSplit="3" ySplit="2" topLeftCell="M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I9" sqref="A7:I9"/>
    </sheetView>
  </sheetViews>
  <sheetFormatPr defaultColWidth="9.140625" defaultRowHeight="12.75"/>
  <cols>
    <col min="1" max="1" width="5.7109375" style="89" bestFit="1" customWidth="1"/>
    <col min="2" max="2" width="14.7109375" style="89" bestFit="1" customWidth="1"/>
    <col min="3" max="3" width="7.8515625" style="89" bestFit="1" customWidth="1"/>
    <col min="4" max="4" width="8.8515625" style="89" customWidth="1"/>
    <col min="5" max="5" width="8.57421875" style="89" bestFit="1" customWidth="1"/>
    <col min="6" max="6" width="8.7109375" style="89" bestFit="1" customWidth="1"/>
    <col min="7" max="7" width="7.28125" style="89" bestFit="1" customWidth="1"/>
    <col min="8" max="8" width="8.57421875" style="89" bestFit="1" customWidth="1"/>
    <col min="9" max="9" width="6.140625" style="89" bestFit="1" customWidth="1"/>
    <col min="10" max="10" width="6.8515625" style="89" bestFit="1" customWidth="1"/>
    <col min="11" max="13" width="8.7109375" style="89" bestFit="1" customWidth="1"/>
    <col min="14" max="14" width="8.421875" style="89" bestFit="1" customWidth="1"/>
    <col min="15" max="15" width="8.28125" style="89" bestFit="1" customWidth="1"/>
    <col min="16" max="16" width="7.421875" style="89" bestFit="1" customWidth="1"/>
    <col min="17" max="18" width="7.28125" style="89" bestFit="1" customWidth="1"/>
    <col min="19" max="19" width="7.421875" style="89" bestFit="1" customWidth="1"/>
    <col min="20" max="21" width="7.28125" style="89" bestFit="1" customWidth="1"/>
    <col min="22" max="22" width="8.8515625" style="89" customWidth="1"/>
    <col min="23" max="26" width="8.00390625" style="89" bestFit="1" customWidth="1"/>
    <col min="27" max="28" width="8.421875" style="89" bestFit="1" customWidth="1"/>
    <col min="29" max="29" width="8.140625" style="89" bestFit="1" customWidth="1"/>
    <col min="30" max="31" width="8.28125" style="89" bestFit="1" customWidth="1"/>
    <col min="32" max="32" width="7.57421875" style="89" bestFit="1" customWidth="1"/>
    <col min="33" max="33" width="7.8515625" style="89" bestFit="1" customWidth="1"/>
    <col min="34" max="34" width="6.421875" style="89" bestFit="1" customWidth="1"/>
    <col min="35" max="35" width="6.140625" style="89" bestFit="1" customWidth="1"/>
    <col min="36" max="36" width="6.00390625" style="89" bestFit="1" customWidth="1"/>
    <col min="37" max="37" width="5.28125" style="89" bestFit="1" customWidth="1"/>
    <col min="38" max="38" width="8.8515625" style="89" customWidth="1"/>
    <col min="39" max="39" width="4.7109375" style="89" bestFit="1" customWidth="1"/>
  </cols>
  <sheetData>
    <row r="1" spans="1:39" s="53" customFormat="1" ht="33.75">
      <c r="A1" s="199" t="s">
        <v>443</v>
      </c>
      <c r="B1" s="199" t="s">
        <v>336</v>
      </c>
      <c r="C1" s="199" t="s">
        <v>287</v>
      </c>
      <c r="D1" s="199" t="s">
        <v>374</v>
      </c>
      <c r="E1" s="199" t="s">
        <v>375</v>
      </c>
      <c r="F1" s="199" t="s">
        <v>132</v>
      </c>
      <c r="G1" s="199" t="s">
        <v>376</v>
      </c>
      <c r="H1" s="199" t="s">
        <v>377</v>
      </c>
      <c r="I1" s="199" t="s">
        <v>378</v>
      </c>
      <c r="J1" s="199" t="s">
        <v>379</v>
      </c>
      <c r="K1" s="199" t="s">
        <v>380</v>
      </c>
      <c r="L1" s="199" t="s">
        <v>381</v>
      </c>
      <c r="M1" s="199" t="s">
        <v>127</v>
      </c>
      <c r="N1" s="199" t="s">
        <v>382</v>
      </c>
      <c r="O1" s="199" t="s">
        <v>383</v>
      </c>
      <c r="P1" s="199" t="s">
        <v>384</v>
      </c>
      <c r="Q1" s="199" t="s">
        <v>385</v>
      </c>
      <c r="R1" s="199" t="s">
        <v>386</v>
      </c>
      <c r="S1" s="199" t="s">
        <v>387</v>
      </c>
      <c r="T1" s="199" t="s">
        <v>388</v>
      </c>
      <c r="U1" s="199" t="s">
        <v>389</v>
      </c>
      <c r="V1" s="199" t="s">
        <v>390</v>
      </c>
      <c r="W1" s="199" t="s">
        <v>391</v>
      </c>
      <c r="X1" s="199" t="s">
        <v>392</v>
      </c>
      <c r="Y1" s="199" t="s">
        <v>393</v>
      </c>
      <c r="Z1" s="199" t="s">
        <v>394</v>
      </c>
      <c r="AA1" s="199" t="s">
        <v>130</v>
      </c>
      <c r="AB1" s="199" t="s">
        <v>131</v>
      </c>
      <c r="AC1" s="199" t="s">
        <v>395</v>
      </c>
      <c r="AD1" s="199" t="s">
        <v>396</v>
      </c>
      <c r="AE1" s="199" t="s">
        <v>397</v>
      </c>
      <c r="AF1" s="199" t="s">
        <v>398</v>
      </c>
      <c r="AG1" s="199" t="s">
        <v>399</v>
      </c>
      <c r="AH1" s="199" t="s">
        <v>400</v>
      </c>
      <c r="AI1" s="199" t="s">
        <v>115</v>
      </c>
      <c r="AJ1" s="199" t="s">
        <v>224</v>
      </c>
      <c r="AK1" s="199" t="s">
        <v>128</v>
      </c>
      <c r="AL1" s="199" t="s">
        <v>101</v>
      </c>
      <c r="AM1" s="199" t="s">
        <v>401</v>
      </c>
    </row>
    <row r="2" spans="1:39" ht="12.75">
      <c r="A2" s="75"/>
      <c r="B2" s="75"/>
      <c r="C2" s="75"/>
      <c r="D2" s="75" t="s">
        <v>501</v>
      </c>
      <c r="E2" s="75" t="s">
        <v>501</v>
      </c>
      <c r="F2" s="75" t="s">
        <v>501</v>
      </c>
      <c r="G2" s="75" t="s">
        <v>501</v>
      </c>
      <c r="H2" s="75" t="s">
        <v>501</v>
      </c>
      <c r="I2" s="75" t="s">
        <v>501</v>
      </c>
      <c r="J2" s="75" t="s">
        <v>501</v>
      </c>
      <c r="K2" s="75" t="s">
        <v>501</v>
      </c>
      <c r="L2" s="75" t="s">
        <v>501</v>
      </c>
      <c r="M2" s="75" t="s">
        <v>501</v>
      </c>
      <c r="N2" s="75" t="s">
        <v>501</v>
      </c>
      <c r="O2" s="75" t="s">
        <v>501</v>
      </c>
      <c r="P2" s="75" t="s">
        <v>501</v>
      </c>
      <c r="Q2" s="75" t="s">
        <v>501</v>
      </c>
      <c r="R2" s="75" t="s">
        <v>501</v>
      </c>
      <c r="S2" s="75" t="s">
        <v>501</v>
      </c>
      <c r="T2" s="75" t="s">
        <v>501</v>
      </c>
      <c r="U2" s="75" t="s">
        <v>501</v>
      </c>
      <c r="V2" s="75" t="s">
        <v>501</v>
      </c>
      <c r="W2" s="75" t="s">
        <v>501</v>
      </c>
      <c r="X2" s="75" t="s">
        <v>501</v>
      </c>
      <c r="Y2" s="75" t="s">
        <v>501</v>
      </c>
      <c r="Z2" s="75" t="s">
        <v>501</v>
      </c>
      <c r="AA2" s="75" t="s">
        <v>501</v>
      </c>
      <c r="AB2" s="75" t="s">
        <v>501</v>
      </c>
      <c r="AC2" s="75" t="s">
        <v>501</v>
      </c>
      <c r="AD2" s="75" t="s">
        <v>501</v>
      </c>
      <c r="AE2" s="75" t="s">
        <v>501</v>
      </c>
      <c r="AF2" s="75" t="s">
        <v>501</v>
      </c>
      <c r="AG2" s="75" t="s">
        <v>501</v>
      </c>
      <c r="AH2" s="75" t="s">
        <v>501</v>
      </c>
      <c r="AI2" s="75" t="s">
        <v>501</v>
      </c>
      <c r="AJ2" s="75" t="s">
        <v>501</v>
      </c>
      <c r="AK2" s="75" t="s">
        <v>501</v>
      </c>
      <c r="AL2" s="75" t="s">
        <v>501</v>
      </c>
      <c r="AM2" s="75" t="s">
        <v>501</v>
      </c>
    </row>
    <row r="3" spans="1:39" ht="12.75">
      <c r="A3" s="75" t="s">
        <v>448</v>
      </c>
      <c r="B3" s="75" t="s">
        <v>345</v>
      </c>
      <c r="C3" s="308">
        <v>34031</v>
      </c>
      <c r="D3" s="75"/>
      <c r="E3" s="75"/>
      <c r="F3" s="75"/>
      <c r="G3" s="75"/>
      <c r="H3" s="75">
        <v>1210</v>
      </c>
      <c r="I3" s="75">
        <v>1161</v>
      </c>
      <c r="J3" s="75" t="s">
        <v>321</v>
      </c>
      <c r="K3" s="75">
        <v>23.268</v>
      </c>
      <c r="L3" s="75" t="s">
        <v>454</v>
      </c>
      <c r="M3" s="75" t="s">
        <v>454</v>
      </c>
      <c r="N3" s="75">
        <v>1317</v>
      </c>
      <c r="O3" s="75">
        <v>196</v>
      </c>
      <c r="P3" s="75">
        <v>18</v>
      </c>
      <c r="Q3" s="75" t="s">
        <v>294</v>
      </c>
      <c r="R3" s="75" t="s">
        <v>476</v>
      </c>
      <c r="S3" s="75">
        <v>100</v>
      </c>
      <c r="T3" s="75">
        <v>50</v>
      </c>
      <c r="U3" s="75">
        <v>28</v>
      </c>
      <c r="V3" s="75">
        <v>75</v>
      </c>
      <c r="W3" s="75">
        <v>25</v>
      </c>
      <c r="X3" s="75">
        <v>24</v>
      </c>
      <c r="Y3" s="75" t="s">
        <v>454</v>
      </c>
      <c r="Z3" s="75">
        <v>25</v>
      </c>
      <c r="AA3" s="75" t="s">
        <v>321</v>
      </c>
      <c r="AB3" s="75" t="s">
        <v>321</v>
      </c>
      <c r="AC3" s="75" t="s">
        <v>321</v>
      </c>
      <c r="AD3" s="75">
        <v>348</v>
      </c>
      <c r="AE3" s="75">
        <v>148</v>
      </c>
      <c r="AF3" s="75">
        <v>93</v>
      </c>
      <c r="AG3" s="75" t="s">
        <v>321</v>
      </c>
      <c r="AH3" s="75">
        <v>107</v>
      </c>
      <c r="AI3" s="75" t="s">
        <v>321</v>
      </c>
      <c r="AJ3" s="75">
        <v>264</v>
      </c>
      <c r="AK3" s="75" t="s">
        <v>321</v>
      </c>
      <c r="AL3" s="75">
        <v>16</v>
      </c>
      <c r="AM3" s="75" t="s">
        <v>321</v>
      </c>
    </row>
    <row r="4" spans="1:39" ht="12.75">
      <c r="A4" s="75" t="s">
        <v>448</v>
      </c>
      <c r="B4" s="75" t="s">
        <v>345</v>
      </c>
      <c r="C4" s="308">
        <v>34368</v>
      </c>
      <c r="D4" s="75" t="s">
        <v>294</v>
      </c>
      <c r="E4" s="75">
        <v>35.8</v>
      </c>
      <c r="F4" s="75" t="s">
        <v>294</v>
      </c>
      <c r="G4" s="75" t="s">
        <v>294</v>
      </c>
      <c r="H4" s="75">
        <v>2185</v>
      </c>
      <c r="I4" s="75">
        <v>1515</v>
      </c>
      <c r="J4" s="75" t="s">
        <v>321</v>
      </c>
      <c r="K4" s="75" t="s">
        <v>294</v>
      </c>
      <c r="L4" s="75" t="s">
        <v>294</v>
      </c>
      <c r="M4" s="75" t="s">
        <v>294</v>
      </c>
      <c r="N4" s="75">
        <v>3244</v>
      </c>
      <c r="O4" s="75">
        <v>222</v>
      </c>
      <c r="P4" s="75">
        <v>21.1</v>
      </c>
      <c r="Q4" s="75" t="s">
        <v>477</v>
      </c>
      <c r="R4" s="75" t="s">
        <v>294</v>
      </c>
      <c r="S4" s="75">
        <v>121.5</v>
      </c>
      <c r="T4" s="75">
        <v>51.8</v>
      </c>
      <c r="U4" s="75" t="s">
        <v>478</v>
      </c>
      <c r="V4" s="75">
        <v>84</v>
      </c>
      <c r="W4" s="75">
        <v>36</v>
      </c>
      <c r="X4" s="75">
        <v>20.2</v>
      </c>
      <c r="Y4" s="75">
        <v>10.5</v>
      </c>
      <c r="Z4" s="75">
        <v>17.4</v>
      </c>
      <c r="AA4" s="75" t="s">
        <v>321</v>
      </c>
      <c r="AB4" s="75" t="s">
        <v>294</v>
      </c>
      <c r="AC4" s="75" t="s">
        <v>294</v>
      </c>
      <c r="AD4" s="75">
        <v>1284</v>
      </c>
      <c r="AE4" s="75">
        <v>424</v>
      </c>
      <c r="AF4" s="75">
        <v>157</v>
      </c>
      <c r="AG4" s="75" t="s">
        <v>321</v>
      </c>
      <c r="AH4" s="75">
        <v>703.4</v>
      </c>
      <c r="AI4" s="75" t="s">
        <v>321</v>
      </c>
      <c r="AJ4" s="75">
        <v>171.1</v>
      </c>
      <c r="AK4" s="75" t="s">
        <v>321</v>
      </c>
      <c r="AL4" s="75" t="s">
        <v>294</v>
      </c>
      <c r="AM4" s="75" t="s">
        <v>321</v>
      </c>
    </row>
    <row r="5" spans="1:39" ht="12.75">
      <c r="A5" s="75" t="s">
        <v>448</v>
      </c>
      <c r="B5" s="75" t="s">
        <v>345</v>
      </c>
      <c r="C5" s="308">
        <v>34444</v>
      </c>
      <c r="D5" s="75" t="s">
        <v>321</v>
      </c>
      <c r="E5" s="75" t="s">
        <v>321</v>
      </c>
      <c r="F5" s="75" t="s">
        <v>321</v>
      </c>
      <c r="G5" s="75" t="s">
        <v>321</v>
      </c>
      <c r="H5" s="75">
        <v>142</v>
      </c>
      <c r="I5" s="75">
        <v>178</v>
      </c>
      <c r="J5" s="75">
        <v>2800</v>
      </c>
      <c r="K5" s="75" t="s">
        <v>294</v>
      </c>
      <c r="L5" s="75" t="s">
        <v>294</v>
      </c>
      <c r="M5" s="75" t="s">
        <v>294</v>
      </c>
      <c r="N5" s="75">
        <v>3</v>
      </c>
      <c r="O5" s="75">
        <v>354</v>
      </c>
      <c r="P5" s="75">
        <v>32</v>
      </c>
      <c r="Q5" s="75">
        <v>4.8</v>
      </c>
      <c r="R5" s="75" t="s">
        <v>294</v>
      </c>
      <c r="S5" s="75">
        <v>229</v>
      </c>
      <c r="T5" s="75">
        <v>88</v>
      </c>
      <c r="U5" s="75" t="s">
        <v>294</v>
      </c>
      <c r="V5" s="75">
        <v>103</v>
      </c>
      <c r="W5" s="75">
        <v>33</v>
      </c>
      <c r="X5" s="75">
        <v>28</v>
      </c>
      <c r="Y5" s="75">
        <v>12.2</v>
      </c>
      <c r="Z5" s="75">
        <v>21.3</v>
      </c>
      <c r="AA5" s="75" t="s">
        <v>294</v>
      </c>
      <c r="AB5" s="75">
        <v>9.3</v>
      </c>
      <c r="AC5" s="75" t="s">
        <v>294</v>
      </c>
      <c r="AD5" s="75">
        <v>1197.7</v>
      </c>
      <c r="AE5" s="75">
        <v>389</v>
      </c>
      <c r="AF5" s="75">
        <v>413</v>
      </c>
      <c r="AG5" s="75" t="s">
        <v>294</v>
      </c>
      <c r="AH5" s="75">
        <v>396</v>
      </c>
      <c r="AI5" s="75" t="s">
        <v>321</v>
      </c>
      <c r="AJ5" s="75">
        <v>93</v>
      </c>
      <c r="AK5" s="75" t="s">
        <v>470</v>
      </c>
      <c r="AL5" s="75">
        <v>8.8</v>
      </c>
      <c r="AM5" s="75" t="s">
        <v>294</v>
      </c>
    </row>
    <row r="6" spans="1:39" ht="12.75">
      <c r="A6" s="75" t="s">
        <v>448</v>
      </c>
      <c r="B6" s="75" t="s">
        <v>345</v>
      </c>
      <c r="C6" s="308">
        <v>34563</v>
      </c>
      <c r="D6" s="75" t="s">
        <v>321</v>
      </c>
      <c r="E6" s="75" t="s">
        <v>321</v>
      </c>
      <c r="F6" s="75" t="s">
        <v>321</v>
      </c>
      <c r="G6" s="75" t="s">
        <v>321</v>
      </c>
      <c r="H6" s="75">
        <v>206</v>
      </c>
      <c r="I6" s="75">
        <v>80</v>
      </c>
      <c r="J6" s="75">
        <v>540</v>
      </c>
      <c r="K6" s="75" t="s">
        <v>294</v>
      </c>
      <c r="L6" s="75" t="s">
        <v>294</v>
      </c>
      <c r="M6" s="75" t="s">
        <v>294</v>
      </c>
      <c r="N6" s="75">
        <v>180</v>
      </c>
      <c r="O6" s="75">
        <v>142</v>
      </c>
      <c r="P6" s="75">
        <v>9.5</v>
      </c>
      <c r="Q6" s="75">
        <v>1.7</v>
      </c>
      <c r="R6" s="75" t="s">
        <v>294</v>
      </c>
      <c r="S6" s="75">
        <v>88</v>
      </c>
      <c r="T6" s="75">
        <v>43</v>
      </c>
      <c r="U6" s="75" t="s">
        <v>294</v>
      </c>
      <c r="V6" s="75">
        <v>101</v>
      </c>
      <c r="W6" s="75">
        <v>28</v>
      </c>
      <c r="X6" s="75">
        <v>32.3</v>
      </c>
      <c r="Y6" s="75">
        <v>8.3</v>
      </c>
      <c r="Z6" s="75">
        <v>12.9</v>
      </c>
      <c r="AA6" s="75">
        <v>19</v>
      </c>
      <c r="AB6" s="75" t="s">
        <v>294</v>
      </c>
      <c r="AC6" s="75" t="s">
        <v>294</v>
      </c>
      <c r="AD6" s="75">
        <v>847.4</v>
      </c>
      <c r="AE6" s="75">
        <v>295</v>
      </c>
      <c r="AF6" s="75">
        <v>349</v>
      </c>
      <c r="AG6" s="75" t="s">
        <v>294</v>
      </c>
      <c r="AH6" s="75">
        <v>203.6</v>
      </c>
      <c r="AI6" s="75" t="s">
        <v>321</v>
      </c>
      <c r="AJ6" s="75">
        <v>16</v>
      </c>
      <c r="AK6" s="75" t="s">
        <v>294</v>
      </c>
      <c r="AL6" s="75">
        <v>8.9</v>
      </c>
      <c r="AM6" s="75" t="s">
        <v>294</v>
      </c>
    </row>
    <row r="7" spans="1:39" ht="12.75">
      <c r="A7" s="75" t="s">
        <v>448</v>
      </c>
      <c r="B7" s="75" t="s">
        <v>345</v>
      </c>
      <c r="C7" s="308">
        <v>34738</v>
      </c>
      <c r="D7" s="75"/>
      <c r="E7" s="75"/>
      <c r="F7" s="75"/>
      <c r="G7" s="75"/>
      <c r="H7" s="75">
        <v>134</v>
      </c>
      <c r="I7" s="75">
        <v>661</v>
      </c>
      <c r="J7" s="75">
        <v>8100</v>
      </c>
      <c r="K7" s="75" t="s">
        <v>294</v>
      </c>
      <c r="L7" s="75" t="s">
        <v>294</v>
      </c>
      <c r="M7" s="75" t="s">
        <v>294</v>
      </c>
      <c r="N7" s="75">
        <v>132</v>
      </c>
      <c r="O7" s="75">
        <v>106</v>
      </c>
      <c r="P7" s="75">
        <v>2</v>
      </c>
      <c r="Q7" s="75">
        <v>4</v>
      </c>
      <c r="R7" s="75" t="s">
        <v>294</v>
      </c>
      <c r="S7" s="75">
        <v>12</v>
      </c>
      <c r="T7" s="75">
        <v>88</v>
      </c>
      <c r="U7" s="75" t="s">
        <v>294</v>
      </c>
      <c r="V7" s="75">
        <v>165</v>
      </c>
      <c r="W7" s="75">
        <v>18</v>
      </c>
      <c r="X7" s="75">
        <v>24</v>
      </c>
      <c r="Y7" s="75">
        <v>5</v>
      </c>
      <c r="Z7" s="75">
        <v>22</v>
      </c>
      <c r="AA7" s="75" t="s">
        <v>294</v>
      </c>
      <c r="AB7" s="75">
        <v>94</v>
      </c>
      <c r="AC7" s="75">
        <v>2</v>
      </c>
      <c r="AD7" s="75">
        <v>540</v>
      </c>
      <c r="AE7" s="75">
        <v>190</v>
      </c>
      <c r="AF7" s="75">
        <v>86</v>
      </c>
      <c r="AG7" s="75">
        <v>34</v>
      </c>
      <c r="AH7" s="75">
        <v>230</v>
      </c>
      <c r="AI7" s="75" t="s">
        <v>321</v>
      </c>
      <c r="AJ7" s="75" t="s">
        <v>294</v>
      </c>
      <c r="AK7" s="75">
        <v>9</v>
      </c>
      <c r="AL7" s="75">
        <v>16</v>
      </c>
      <c r="AM7" s="75" t="s">
        <v>294</v>
      </c>
    </row>
    <row r="8" spans="1:39" ht="12.75">
      <c r="A8" s="75" t="s">
        <v>448</v>
      </c>
      <c r="B8" s="75" t="s">
        <v>345</v>
      </c>
      <c r="C8" s="308">
        <v>34816</v>
      </c>
      <c r="D8" s="75"/>
      <c r="E8" s="75"/>
      <c r="F8" s="75"/>
      <c r="G8" s="75"/>
      <c r="H8" s="75">
        <v>137</v>
      </c>
      <c r="I8" s="75">
        <v>294</v>
      </c>
      <c r="J8" s="75">
        <v>2400</v>
      </c>
      <c r="K8" s="75" t="s">
        <v>294</v>
      </c>
      <c r="L8" s="75" t="s">
        <v>294</v>
      </c>
      <c r="M8" s="75" t="s">
        <v>294</v>
      </c>
      <c r="N8" s="75" t="s">
        <v>294</v>
      </c>
      <c r="O8" s="75">
        <v>376</v>
      </c>
      <c r="P8" s="75">
        <v>38</v>
      </c>
      <c r="Q8" s="75">
        <v>5</v>
      </c>
      <c r="R8" s="75">
        <v>4</v>
      </c>
      <c r="S8" s="75">
        <v>170</v>
      </c>
      <c r="T8" s="75">
        <v>151</v>
      </c>
      <c r="U8" s="75">
        <v>8</v>
      </c>
      <c r="V8" s="75">
        <v>110</v>
      </c>
      <c r="W8" s="75">
        <v>25</v>
      </c>
      <c r="X8" s="75">
        <v>27</v>
      </c>
      <c r="Y8" s="75">
        <v>14</v>
      </c>
      <c r="Z8" s="75">
        <v>24</v>
      </c>
      <c r="AA8" s="75" t="s">
        <v>294</v>
      </c>
      <c r="AB8" s="75">
        <v>16</v>
      </c>
      <c r="AC8" s="75">
        <v>4</v>
      </c>
      <c r="AD8" s="75">
        <v>771</v>
      </c>
      <c r="AE8" s="75">
        <v>373</v>
      </c>
      <c r="AF8" s="75">
        <v>155</v>
      </c>
      <c r="AG8" s="75">
        <v>7</v>
      </c>
      <c r="AH8" s="75">
        <v>237</v>
      </c>
      <c r="AI8" s="75" t="s">
        <v>321</v>
      </c>
      <c r="AJ8" s="75" t="s">
        <v>294</v>
      </c>
      <c r="AK8" s="75" t="s">
        <v>294</v>
      </c>
      <c r="AL8" s="75">
        <v>4</v>
      </c>
      <c r="AM8" s="75" t="s">
        <v>294</v>
      </c>
    </row>
    <row r="9" spans="1:39" ht="12.75">
      <c r="A9" s="75" t="s">
        <v>448</v>
      </c>
      <c r="B9" s="75" t="s">
        <v>345</v>
      </c>
      <c r="C9" s="308">
        <v>34927</v>
      </c>
      <c r="D9" s="75"/>
      <c r="E9" s="75"/>
      <c r="F9" s="75"/>
      <c r="G9" s="75"/>
      <c r="H9" s="75">
        <v>4</v>
      </c>
      <c r="I9" s="75">
        <v>39</v>
      </c>
      <c r="J9" s="75">
        <v>460</v>
      </c>
      <c r="K9" s="75" t="s">
        <v>294</v>
      </c>
      <c r="L9" s="75" t="s">
        <v>294</v>
      </c>
      <c r="M9" s="75" t="s">
        <v>294</v>
      </c>
      <c r="N9" s="75">
        <v>9</v>
      </c>
      <c r="O9" s="75">
        <v>151</v>
      </c>
      <c r="P9" s="75">
        <v>16</v>
      </c>
      <c r="Q9" s="75">
        <v>4</v>
      </c>
      <c r="R9" s="75">
        <v>2</v>
      </c>
      <c r="S9" s="75">
        <v>68</v>
      </c>
      <c r="T9" s="75">
        <v>32</v>
      </c>
      <c r="U9" s="75">
        <v>29</v>
      </c>
      <c r="V9" s="75">
        <v>65</v>
      </c>
      <c r="W9" s="75">
        <v>17</v>
      </c>
      <c r="X9" s="75">
        <v>14</v>
      </c>
      <c r="Y9" s="75">
        <v>5</v>
      </c>
      <c r="Z9" s="75">
        <v>12</v>
      </c>
      <c r="AA9" s="75">
        <v>2</v>
      </c>
      <c r="AB9" s="75">
        <v>11</v>
      </c>
      <c r="AC9" s="75">
        <v>3</v>
      </c>
      <c r="AD9" s="75">
        <v>640</v>
      </c>
      <c r="AE9" s="75">
        <v>312</v>
      </c>
      <c r="AF9" s="75">
        <v>160</v>
      </c>
      <c r="AG9" s="75">
        <v>6</v>
      </c>
      <c r="AH9" s="75">
        <v>162</v>
      </c>
      <c r="AI9" s="75" t="s">
        <v>321</v>
      </c>
      <c r="AJ9" s="75">
        <v>53</v>
      </c>
      <c r="AK9" s="75">
        <v>2</v>
      </c>
      <c r="AL9" s="75">
        <v>2</v>
      </c>
      <c r="AM9" s="75" t="s">
        <v>294</v>
      </c>
    </row>
    <row r="10" spans="1:39" ht="12.75">
      <c r="A10" s="75" t="s">
        <v>448</v>
      </c>
      <c r="B10" s="75" t="s">
        <v>345</v>
      </c>
      <c r="C10" s="308">
        <v>35102</v>
      </c>
      <c r="D10" s="75"/>
      <c r="E10" s="75"/>
      <c r="F10" s="75"/>
      <c r="G10" s="75"/>
      <c r="H10" s="75" t="s">
        <v>294</v>
      </c>
      <c r="I10" s="75">
        <v>165</v>
      </c>
      <c r="J10" s="75">
        <v>13000</v>
      </c>
      <c r="K10" s="75" t="s">
        <v>294</v>
      </c>
      <c r="L10" s="75" t="s">
        <v>294</v>
      </c>
      <c r="M10" s="75" t="s">
        <v>294</v>
      </c>
      <c r="N10" s="75">
        <v>2</v>
      </c>
      <c r="O10" s="75">
        <v>341</v>
      </c>
      <c r="P10" s="75">
        <v>27</v>
      </c>
      <c r="Q10" s="75">
        <v>6</v>
      </c>
      <c r="R10" s="75" t="s">
        <v>454</v>
      </c>
      <c r="S10" s="75">
        <v>126</v>
      </c>
      <c r="T10" s="75">
        <v>127</v>
      </c>
      <c r="U10" s="75">
        <v>55</v>
      </c>
      <c r="V10" s="75">
        <v>180</v>
      </c>
      <c r="W10" s="75">
        <v>46</v>
      </c>
      <c r="X10" s="75">
        <v>27</v>
      </c>
      <c r="Y10" s="75">
        <v>10</v>
      </c>
      <c r="Z10" s="75">
        <v>29</v>
      </c>
      <c r="AA10" s="75">
        <v>2</v>
      </c>
      <c r="AB10" s="75">
        <v>63</v>
      </c>
      <c r="AC10" s="75">
        <v>4</v>
      </c>
      <c r="AD10" s="75">
        <v>835</v>
      </c>
      <c r="AE10" s="75">
        <v>346</v>
      </c>
      <c r="AF10" s="75">
        <v>171</v>
      </c>
      <c r="AG10" s="75">
        <v>7</v>
      </c>
      <c r="AH10" s="75">
        <v>310</v>
      </c>
      <c r="AI10" s="75" t="s">
        <v>321</v>
      </c>
      <c r="AJ10" s="75">
        <v>64</v>
      </c>
      <c r="AK10" s="75" t="s">
        <v>294</v>
      </c>
      <c r="AL10" s="75">
        <v>12</v>
      </c>
      <c r="AM10" s="75" t="s">
        <v>294</v>
      </c>
    </row>
    <row r="11" spans="1:39" ht="12.75">
      <c r="A11" s="75" t="s">
        <v>448</v>
      </c>
      <c r="B11" s="75" t="s">
        <v>345</v>
      </c>
      <c r="C11" s="308">
        <v>35185</v>
      </c>
      <c r="D11" s="75"/>
      <c r="E11" s="75"/>
      <c r="F11" s="75"/>
      <c r="G11" s="75"/>
      <c r="H11" s="75">
        <v>151</v>
      </c>
      <c r="I11" s="75">
        <v>172</v>
      </c>
      <c r="J11" s="75">
        <v>1700</v>
      </c>
      <c r="K11" s="75">
        <v>31</v>
      </c>
      <c r="L11" s="75">
        <v>69</v>
      </c>
      <c r="M11" s="75">
        <v>11</v>
      </c>
      <c r="N11" s="75">
        <v>50</v>
      </c>
      <c r="O11" s="75">
        <v>249</v>
      </c>
      <c r="P11" s="75">
        <v>33</v>
      </c>
      <c r="Q11" s="75">
        <v>16</v>
      </c>
      <c r="R11" s="75" t="s">
        <v>454</v>
      </c>
      <c r="S11" s="75">
        <v>95</v>
      </c>
      <c r="T11" s="75">
        <v>74</v>
      </c>
      <c r="U11" s="75">
        <v>32</v>
      </c>
      <c r="V11" s="75">
        <v>119</v>
      </c>
      <c r="W11" s="75">
        <v>29</v>
      </c>
      <c r="X11" s="75">
        <v>25</v>
      </c>
      <c r="Y11" s="75" t="s">
        <v>470</v>
      </c>
      <c r="Z11" s="75">
        <v>13</v>
      </c>
      <c r="AA11" s="75">
        <v>8</v>
      </c>
      <c r="AB11" s="75">
        <v>38</v>
      </c>
      <c r="AC11" s="75">
        <v>6</v>
      </c>
      <c r="AD11" s="75">
        <v>1095</v>
      </c>
      <c r="AE11" s="75">
        <v>496</v>
      </c>
      <c r="AF11" s="75">
        <v>322</v>
      </c>
      <c r="AG11" s="75">
        <v>7</v>
      </c>
      <c r="AH11" s="75">
        <v>270</v>
      </c>
      <c r="AI11" s="75" t="s">
        <v>321</v>
      </c>
      <c r="AJ11" s="75">
        <v>4</v>
      </c>
      <c r="AK11" s="75">
        <v>16</v>
      </c>
      <c r="AL11" s="75">
        <v>5</v>
      </c>
      <c r="AM11" s="75" t="s">
        <v>294</v>
      </c>
    </row>
    <row r="12" spans="1:39" ht="12.75">
      <c r="A12" s="75" t="s">
        <v>448</v>
      </c>
      <c r="B12" s="75" t="s">
        <v>345</v>
      </c>
      <c r="C12" s="308">
        <v>35272</v>
      </c>
      <c r="D12" s="75"/>
      <c r="E12" s="75"/>
      <c r="F12" s="75"/>
      <c r="G12" s="75"/>
      <c r="H12" s="75" t="s">
        <v>321</v>
      </c>
      <c r="I12" s="75" t="s">
        <v>321</v>
      </c>
      <c r="J12" s="75" t="s">
        <v>321</v>
      </c>
      <c r="K12" s="75" t="s">
        <v>321</v>
      </c>
      <c r="L12" s="75" t="s">
        <v>321</v>
      </c>
      <c r="M12" s="75" t="s">
        <v>321</v>
      </c>
      <c r="N12" s="75" t="s">
        <v>321</v>
      </c>
      <c r="O12" s="75" t="s">
        <v>321</v>
      </c>
      <c r="P12" s="75" t="s">
        <v>321</v>
      </c>
      <c r="Q12" s="75" t="s">
        <v>321</v>
      </c>
      <c r="R12" s="75" t="s">
        <v>321</v>
      </c>
      <c r="S12" s="75" t="s">
        <v>321</v>
      </c>
      <c r="T12" s="75" t="s">
        <v>321</v>
      </c>
      <c r="U12" s="75" t="s">
        <v>321</v>
      </c>
      <c r="V12" s="75" t="s">
        <v>321</v>
      </c>
      <c r="W12" s="75" t="s">
        <v>321</v>
      </c>
      <c r="X12" s="75" t="s">
        <v>321</v>
      </c>
      <c r="Y12" s="75" t="s">
        <v>321</v>
      </c>
      <c r="Z12" s="75" t="s">
        <v>321</v>
      </c>
      <c r="AA12" s="75" t="s">
        <v>321</v>
      </c>
      <c r="AB12" s="75" t="s">
        <v>321</v>
      </c>
      <c r="AC12" s="75" t="s">
        <v>321</v>
      </c>
      <c r="AD12" s="75" t="s">
        <v>321</v>
      </c>
      <c r="AE12" s="75" t="s">
        <v>321</v>
      </c>
      <c r="AF12" s="75" t="s">
        <v>321</v>
      </c>
      <c r="AG12" s="75" t="s">
        <v>321</v>
      </c>
      <c r="AH12" s="75" t="s">
        <v>321</v>
      </c>
      <c r="AI12" s="75" t="s">
        <v>321</v>
      </c>
      <c r="AJ12" s="75" t="s">
        <v>321</v>
      </c>
      <c r="AK12" s="75" t="s">
        <v>321</v>
      </c>
      <c r="AL12" s="75" t="s">
        <v>321</v>
      </c>
      <c r="AM12" s="75" t="s">
        <v>321</v>
      </c>
    </row>
    <row r="13" spans="1:39" ht="12.75">
      <c r="A13" s="75" t="s">
        <v>448</v>
      </c>
      <c r="B13" s="75" t="s">
        <v>345</v>
      </c>
      <c r="C13" s="308">
        <v>35453</v>
      </c>
      <c r="D13" s="75"/>
      <c r="E13" s="75"/>
      <c r="F13" s="75"/>
      <c r="G13" s="75"/>
      <c r="H13" s="75">
        <v>194</v>
      </c>
      <c r="I13" s="75">
        <v>11</v>
      </c>
      <c r="J13" s="75">
        <v>4522</v>
      </c>
      <c r="K13" s="75" t="s">
        <v>294</v>
      </c>
      <c r="L13" s="75" t="s">
        <v>294</v>
      </c>
      <c r="M13" s="75">
        <v>81.9</v>
      </c>
      <c r="N13" s="75">
        <v>13</v>
      </c>
      <c r="O13" s="75">
        <v>546</v>
      </c>
      <c r="P13" s="75">
        <v>20</v>
      </c>
      <c r="Q13" s="75">
        <v>17</v>
      </c>
      <c r="R13" s="75" t="s">
        <v>479</v>
      </c>
      <c r="S13" s="75">
        <v>313</v>
      </c>
      <c r="T13" s="75">
        <v>133</v>
      </c>
      <c r="U13" s="75">
        <v>63</v>
      </c>
      <c r="V13" s="75">
        <v>155</v>
      </c>
      <c r="W13" s="75">
        <v>35</v>
      </c>
      <c r="X13" s="75">
        <v>27</v>
      </c>
      <c r="Y13" s="75">
        <v>4</v>
      </c>
      <c r="Z13" s="75">
        <v>14</v>
      </c>
      <c r="AA13" s="75" t="s">
        <v>294</v>
      </c>
      <c r="AB13" s="75">
        <v>16</v>
      </c>
      <c r="AC13" s="75">
        <v>60</v>
      </c>
      <c r="AD13" s="75">
        <v>408</v>
      </c>
      <c r="AE13" s="75">
        <v>190</v>
      </c>
      <c r="AF13" s="75">
        <v>71</v>
      </c>
      <c r="AG13" s="75">
        <v>7</v>
      </c>
      <c r="AH13" s="75">
        <v>140</v>
      </c>
      <c r="AI13" s="75" t="s">
        <v>321</v>
      </c>
      <c r="AJ13" s="75">
        <v>184</v>
      </c>
      <c r="AK13" s="75" t="s">
        <v>294</v>
      </c>
      <c r="AL13" s="75">
        <v>13.2</v>
      </c>
      <c r="AM13" s="75" t="s">
        <v>294</v>
      </c>
    </row>
    <row r="14" spans="1:39" ht="12.75">
      <c r="A14" s="75" t="s">
        <v>448</v>
      </c>
      <c r="B14" s="75" t="s">
        <v>345</v>
      </c>
      <c r="C14" s="308">
        <v>35534</v>
      </c>
      <c r="D14" s="75"/>
      <c r="E14" s="75"/>
      <c r="F14" s="75"/>
      <c r="G14" s="75"/>
      <c r="H14" s="75">
        <v>66</v>
      </c>
      <c r="I14" s="75">
        <v>79</v>
      </c>
      <c r="J14" s="75">
        <v>1300</v>
      </c>
      <c r="K14" s="75" t="s">
        <v>294</v>
      </c>
      <c r="L14" s="75" t="s">
        <v>294</v>
      </c>
      <c r="M14" s="75">
        <v>26</v>
      </c>
      <c r="N14" s="75" t="s">
        <v>294</v>
      </c>
      <c r="O14" s="75">
        <v>439</v>
      </c>
      <c r="P14" s="75">
        <v>64</v>
      </c>
      <c r="Q14" s="75">
        <v>7</v>
      </c>
      <c r="R14" s="75" t="s">
        <v>479</v>
      </c>
      <c r="S14" s="75">
        <v>197</v>
      </c>
      <c r="T14" s="75">
        <v>105</v>
      </c>
      <c r="U14" s="75">
        <v>66</v>
      </c>
      <c r="V14" s="75">
        <v>144</v>
      </c>
      <c r="W14" s="75">
        <v>27</v>
      </c>
      <c r="X14" s="75">
        <v>14</v>
      </c>
      <c r="Y14" s="75">
        <v>8</v>
      </c>
      <c r="Z14" s="75">
        <v>21</v>
      </c>
      <c r="AA14" s="75" t="s">
        <v>294</v>
      </c>
      <c r="AB14" s="75">
        <v>32</v>
      </c>
      <c r="AC14" s="75">
        <v>43</v>
      </c>
      <c r="AD14" s="75">
        <v>501</v>
      </c>
      <c r="AE14" s="75">
        <v>250</v>
      </c>
      <c r="AF14" s="75">
        <v>111</v>
      </c>
      <c r="AG14" s="75" t="s">
        <v>294</v>
      </c>
      <c r="AH14" s="75">
        <v>140</v>
      </c>
      <c r="AI14" s="75" t="s">
        <v>321</v>
      </c>
      <c r="AJ14" s="75">
        <v>78</v>
      </c>
      <c r="AK14" s="75" t="s">
        <v>294</v>
      </c>
      <c r="AL14" s="75">
        <v>20.2</v>
      </c>
      <c r="AM14" s="75" t="s">
        <v>294</v>
      </c>
    </row>
    <row r="15" spans="1:39" ht="12.75">
      <c r="A15" s="75" t="s">
        <v>448</v>
      </c>
      <c r="B15" s="75" t="s">
        <v>345</v>
      </c>
      <c r="C15" s="308">
        <v>35641</v>
      </c>
      <c r="D15" s="75"/>
      <c r="E15" s="75"/>
      <c r="F15" s="75"/>
      <c r="G15" s="75"/>
      <c r="H15" s="75">
        <v>231</v>
      </c>
      <c r="I15" s="75" t="s">
        <v>294</v>
      </c>
      <c r="J15" s="75">
        <v>640</v>
      </c>
      <c r="K15" s="75" t="s">
        <v>294</v>
      </c>
      <c r="L15" s="75" t="s">
        <v>294</v>
      </c>
      <c r="M15" s="75" t="s">
        <v>294</v>
      </c>
      <c r="N15" s="75" t="s">
        <v>294</v>
      </c>
      <c r="O15" s="75">
        <v>260</v>
      </c>
      <c r="P15" s="75">
        <v>15</v>
      </c>
      <c r="Q15" s="75">
        <v>17</v>
      </c>
      <c r="R15" s="75" t="s">
        <v>479</v>
      </c>
      <c r="S15" s="75">
        <v>144</v>
      </c>
      <c r="T15" s="75">
        <v>84</v>
      </c>
      <c r="U15" s="75" t="s">
        <v>294</v>
      </c>
      <c r="V15" s="75">
        <v>161</v>
      </c>
      <c r="W15" s="75">
        <v>30</v>
      </c>
      <c r="X15" s="75">
        <v>20</v>
      </c>
      <c r="Y15" s="75">
        <v>6</v>
      </c>
      <c r="Z15" s="75">
        <v>29</v>
      </c>
      <c r="AA15" s="75" t="s">
        <v>294</v>
      </c>
      <c r="AB15" s="75">
        <v>34</v>
      </c>
      <c r="AC15" s="75">
        <v>41</v>
      </c>
      <c r="AD15" s="75">
        <v>484</v>
      </c>
      <c r="AE15" s="75">
        <v>223</v>
      </c>
      <c r="AF15" s="75">
        <v>130</v>
      </c>
      <c r="AG15" s="75" t="s">
        <v>294</v>
      </c>
      <c r="AH15" s="75">
        <v>131</v>
      </c>
      <c r="AI15" s="75" t="s">
        <v>321</v>
      </c>
      <c r="AJ15" s="75">
        <v>75</v>
      </c>
      <c r="AK15" s="75" t="s">
        <v>294</v>
      </c>
      <c r="AL15" s="75">
        <v>8.6</v>
      </c>
      <c r="AM15" s="75" t="s">
        <v>294</v>
      </c>
    </row>
    <row r="16" spans="1:39" ht="12.75">
      <c r="A16" s="75" t="s">
        <v>448</v>
      </c>
      <c r="B16" s="75" t="s">
        <v>345</v>
      </c>
      <c r="C16" s="308">
        <v>35824</v>
      </c>
      <c r="D16" s="75"/>
      <c r="E16" s="75"/>
      <c r="F16" s="75"/>
      <c r="G16" s="75"/>
      <c r="H16" s="75" t="s">
        <v>466</v>
      </c>
      <c r="I16" s="75" t="s">
        <v>480</v>
      </c>
      <c r="J16" s="75">
        <v>3455</v>
      </c>
      <c r="K16" s="75" t="s">
        <v>294</v>
      </c>
      <c r="L16" s="75" t="s">
        <v>294</v>
      </c>
      <c r="M16" s="75">
        <v>39.7</v>
      </c>
      <c r="N16" s="75" t="s">
        <v>481</v>
      </c>
      <c r="O16" s="75" t="s">
        <v>468</v>
      </c>
      <c r="P16" s="75">
        <v>52</v>
      </c>
      <c r="Q16" s="75" t="s">
        <v>476</v>
      </c>
      <c r="R16" s="75" t="s">
        <v>482</v>
      </c>
      <c r="S16" s="75" t="s">
        <v>466</v>
      </c>
      <c r="T16" s="75" t="s">
        <v>482</v>
      </c>
      <c r="U16" s="75" t="s">
        <v>483</v>
      </c>
      <c r="V16" s="75">
        <v>116.4</v>
      </c>
      <c r="W16" s="75" t="s">
        <v>484</v>
      </c>
      <c r="X16" s="75">
        <v>36</v>
      </c>
      <c r="Y16" s="75">
        <v>5.4</v>
      </c>
      <c r="Z16" s="75" t="s">
        <v>482</v>
      </c>
      <c r="AA16" s="75" t="s">
        <v>294</v>
      </c>
      <c r="AB16" s="75">
        <v>24</v>
      </c>
      <c r="AC16" s="75" t="s">
        <v>294</v>
      </c>
      <c r="AD16" s="75">
        <v>385</v>
      </c>
      <c r="AE16" s="75">
        <v>114</v>
      </c>
      <c r="AF16" s="75">
        <v>131</v>
      </c>
      <c r="AG16" s="75" t="s">
        <v>294</v>
      </c>
      <c r="AH16" s="75">
        <v>140</v>
      </c>
      <c r="AI16" s="75" t="s">
        <v>321</v>
      </c>
      <c r="AJ16" s="75">
        <v>110</v>
      </c>
      <c r="AK16" s="75" t="s">
        <v>294</v>
      </c>
      <c r="AL16" s="75" t="s">
        <v>476</v>
      </c>
      <c r="AM16" s="75" t="s">
        <v>482</v>
      </c>
    </row>
    <row r="17" spans="1:39" ht="12.75">
      <c r="A17" s="75" t="s">
        <v>448</v>
      </c>
      <c r="B17" s="75" t="s">
        <v>345</v>
      </c>
      <c r="C17" s="308">
        <v>35905</v>
      </c>
      <c r="D17" s="75"/>
      <c r="E17" s="75"/>
      <c r="F17" s="75"/>
      <c r="G17" s="75"/>
      <c r="H17" s="75" t="s">
        <v>466</v>
      </c>
      <c r="I17" s="75" t="s">
        <v>294</v>
      </c>
      <c r="J17" s="75" t="s">
        <v>485</v>
      </c>
      <c r="K17" s="75" t="s">
        <v>294</v>
      </c>
      <c r="L17" s="75" t="s">
        <v>294</v>
      </c>
      <c r="M17" s="75">
        <v>11.5</v>
      </c>
      <c r="N17" s="75" t="s">
        <v>294</v>
      </c>
      <c r="O17" s="75" t="s">
        <v>468</v>
      </c>
      <c r="P17" s="75" t="s">
        <v>486</v>
      </c>
      <c r="Q17" s="75" t="s">
        <v>466</v>
      </c>
      <c r="R17" s="75" t="s">
        <v>454</v>
      </c>
      <c r="S17" s="75" t="s">
        <v>466</v>
      </c>
      <c r="T17" s="382">
        <v>693</v>
      </c>
      <c r="U17" s="75" t="s">
        <v>466</v>
      </c>
      <c r="V17" s="75" t="s">
        <v>468</v>
      </c>
      <c r="W17" s="75" t="s">
        <v>487</v>
      </c>
      <c r="X17" s="75" t="s">
        <v>466</v>
      </c>
      <c r="Y17" s="75" t="s">
        <v>488</v>
      </c>
      <c r="Z17" s="75">
        <v>25</v>
      </c>
      <c r="AA17" s="75" t="s">
        <v>294</v>
      </c>
      <c r="AB17" s="75" t="s">
        <v>466</v>
      </c>
      <c r="AC17" s="75" t="s">
        <v>294</v>
      </c>
      <c r="AD17" s="75" t="s">
        <v>468</v>
      </c>
      <c r="AE17" s="75" t="s">
        <v>466</v>
      </c>
      <c r="AF17" s="75" t="s">
        <v>466</v>
      </c>
      <c r="AG17" s="75" t="s">
        <v>489</v>
      </c>
      <c r="AH17" s="75" t="s">
        <v>466</v>
      </c>
      <c r="AI17" s="75" t="s">
        <v>321</v>
      </c>
      <c r="AJ17" s="75" t="s">
        <v>294</v>
      </c>
      <c r="AK17" s="75" t="s">
        <v>466</v>
      </c>
      <c r="AL17" s="75" t="s">
        <v>490</v>
      </c>
      <c r="AM17" s="75" t="s">
        <v>294</v>
      </c>
    </row>
    <row r="18" spans="1:39" ht="12.75">
      <c r="A18" s="75" t="s">
        <v>448</v>
      </c>
      <c r="B18" s="75" t="s">
        <v>345</v>
      </c>
      <c r="C18" s="308">
        <v>35998</v>
      </c>
      <c r="D18" s="75"/>
      <c r="E18" s="75"/>
      <c r="F18" s="75"/>
      <c r="G18" s="75"/>
      <c r="H18" s="75" t="s">
        <v>466</v>
      </c>
      <c r="I18" s="75" t="s">
        <v>491</v>
      </c>
      <c r="J18" s="75">
        <v>400</v>
      </c>
      <c r="K18" s="75" t="s">
        <v>294</v>
      </c>
      <c r="L18" s="75" t="s">
        <v>294</v>
      </c>
      <c r="M18" s="75">
        <v>21</v>
      </c>
      <c r="N18" s="75">
        <v>175</v>
      </c>
      <c r="O18" s="75" t="s">
        <v>468</v>
      </c>
      <c r="P18" s="75" t="s">
        <v>466</v>
      </c>
      <c r="Q18" s="75" t="s">
        <v>466</v>
      </c>
      <c r="R18" s="75" t="s">
        <v>466</v>
      </c>
      <c r="S18" s="75" t="s">
        <v>466</v>
      </c>
      <c r="T18" s="75" t="s">
        <v>492</v>
      </c>
      <c r="U18" s="75">
        <v>7</v>
      </c>
      <c r="V18" s="75" t="s">
        <v>468</v>
      </c>
      <c r="W18" s="75" t="s">
        <v>466</v>
      </c>
      <c r="X18" s="75" t="s">
        <v>466</v>
      </c>
      <c r="Y18" s="75" t="s">
        <v>466</v>
      </c>
      <c r="Z18" s="75" t="s">
        <v>466</v>
      </c>
      <c r="AA18" s="75" t="s">
        <v>466</v>
      </c>
      <c r="AB18" s="75" t="s">
        <v>466</v>
      </c>
      <c r="AC18" s="75">
        <v>2.1</v>
      </c>
      <c r="AD18" s="75">
        <v>553</v>
      </c>
      <c r="AE18" s="75" t="s">
        <v>493</v>
      </c>
      <c r="AF18" s="75">
        <v>150</v>
      </c>
      <c r="AG18" s="75" t="s">
        <v>466</v>
      </c>
      <c r="AH18" s="75">
        <v>153</v>
      </c>
      <c r="AI18" s="75" t="s">
        <v>321</v>
      </c>
      <c r="AJ18" s="75">
        <v>39</v>
      </c>
      <c r="AK18" s="75" t="s">
        <v>466</v>
      </c>
      <c r="AL18" s="75" t="s">
        <v>494</v>
      </c>
      <c r="AM18" s="75" t="s">
        <v>294</v>
      </c>
    </row>
    <row r="19" spans="1:39" ht="12.75">
      <c r="A19" s="75" t="s">
        <v>448</v>
      </c>
      <c r="B19" s="75" t="s">
        <v>345</v>
      </c>
      <c r="C19" s="308">
        <v>36195</v>
      </c>
      <c r="D19" s="75"/>
      <c r="E19" s="75"/>
      <c r="F19" s="75"/>
      <c r="G19" s="75"/>
      <c r="H19" s="75" t="s">
        <v>466</v>
      </c>
      <c r="I19" s="75">
        <v>152</v>
      </c>
      <c r="J19" s="75">
        <v>5200</v>
      </c>
      <c r="K19" s="75">
        <v>20</v>
      </c>
      <c r="L19" s="75">
        <v>19</v>
      </c>
      <c r="M19" s="75">
        <v>41</v>
      </c>
      <c r="N19" s="75">
        <v>491</v>
      </c>
      <c r="O19" s="75">
        <v>221</v>
      </c>
      <c r="P19" s="75">
        <v>34</v>
      </c>
      <c r="Q19" s="75" t="s">
        <v>495</v>
      </c>
      <c r="R19" s="75" t="s">
        <v>454</v>
      </c>
      <c r="S19" s="75">
        <v>84</v>
      </c>
      <c r="T19" s="75">
        <v>82</v>
      </c>
      <c r="U19" s="75">
        <v>13</v>
      </c>
      <c r="V19" s="75">
        <v>49</v>
      </c>
      <c r="W19" s="75">
        <v>13</v>
      </c>
      <c r="X19" s="75">
        <v>15</v>
      </c>
      <c r="Y19" s="75" t="s">
        <v>466</v>
      </c>
      <c r="Z19" s="75">
        <v>13</v>
      </c>
      <c r="AA19" s="75" t="s">
        <v>294</v>
      </c>
      <c r="AB19" s="75">
        <v>6.3</v>
      </c>
      <c r="AC19" s="75">
        <v>2.2</v>
      </c>
      <c r="AD19" s="75">
        <v>388</v>
      </c>
      <c r="AE19" s="75">
        <v>124</v>
      </c>
      <c r="AF19" s="75">
        <v>82</v>
      </c>
      <c r="AG19" s="75">
        <v>6.9</v>
      </c>
      <c r="AH19" s="75">
        <v>175</v>
      </c>
      <c r="AI19" s="75" t="s">
        <v>321</v>
      </c>
      <c r="AJ19" s="75">
        <v>55</v>
      </c>
      <c r="AK19" s="75">
        <v>14</v>
      </c>
      <c r="AL19" s="75" t="s">
        <v>466</v>
      </c>
      <c r="AM19" s="75" t="s">
        <v>294</v>
      </c>
    </row>
    <row r="20" spans="1:39" ht="12.75">
      <c r="A20" s="75" t="s">
        <v>448</v>
      </c>
      <c r="B20" s="75" t="s">
        <v>345</v>
      </c>
      <c r="C20" s="308">
        <v>36264</v>
      </c>
      <c r="D20" s="75"/>
      <c r="E20" s="75"/>
      <c r="F20" s="75"/>
      <c r="G20" s="75"/>
      <c r="H20" s="75" t="s">
        <v>496</v>
      </c>
      <c r="I20" s="75">
        <v>3</v>
      </c>
      <c r="J20" s="75">
        <v>1500</v>
      </c>
      <c r="K20" s="75" t="s">
        <v>294</v>
      </c>
      <c r="L20" s="75">
        <v>39</v>
      </c>
      <c r="M20" s="75">
        <v>28</v>
      </c>
      <c r="N20" s="75">
        <v>4002</v>
      </c>
      <c r="O20" s="75">
        <v>182</v>
      </c>
      <c r="P20" s="75" t="s">
        <v>497</v>
      </c>
      <c r="Q20" s="75">
        <v>5.1</v>
      </c>
      <c r="R20" s="75" t="s">
        <v>454</v>
      </c>
      <c r="S20" s="75">
        <v>50</v>
      </c>
      <c r="T20" s="75">
        <v>76</v>
      </c>
      <c r="U20" s="75">
        <v>26</v>
      </c>
      <c r="V20" s="75">
        <v>46</v>
      </c>
      <c r="W20" s="75">
        <v>13</v>
      </c>
      <c r="X20" s="75">
        <v>13</v>
      </c>
      <c r="Y20" s="75" t="s">
        <v>454</v>
      </c>
      <c r="Z20" s="75">
        <v>10</v>
      </c>
      <c r="AA20" s="75" t="s">
        <v>294</v>
      </c>
      <c r="AB20" s="75">
        <v>10</v>
      </c>
      <c r="AC20" s="75" t="s">
        <v>294</v>
      </c>
      <c r="AD20" s="75">
        <v>220</v>
      </c>
      <c r="AE20" s="75">
        <v>81</v>
      </c>
      <c r="AF20" s="75">
        <v>80</v>
      </c>
      <c r="AG20" s="75">
        <v>6.5</v>
      </c>
      <c r="AH20" s="75">
        <v>53</v>
      </c>
      <c r="AI20" s="75" t="s">
        <v>321</v>
      </c>
      <c r="AJ20" s="75">
        <v>28</v>
      </c>
      <c r="AK20" s="75" t="s">
        <v>294</v>
      </c>
      <c r="AL20" s="75">
        <v>14</v>
      </c>
      <c r="AM20" s="75" t="s">
        <v>294</v>
      </c>
    </row>
    <row r="21" spans="1:39" ht="12.75">
      <c r="A21" s="75" t="s">
        <v>448</v>
      </c>
      <c r="B21" s="75" t="s">
        <v>345</v>
      </c>
      <c r="C21" s="308">
        <v>36357</v>
      </c>
      <c r="D21" s="75"/>
      <c r="E21" s="75"/>
      <c r="F21" s="75"/>
      <c r="G21" s="75"/>
      <c r="H21" s="75">
        <v>4</v>
      </c>
      <c r="I21" s="75">
        <v>7</v>
      </c>
      <c r="J21" s="75">
        <v>3040</v>
      </c>
      <c r="K21" s="75">
        <v>2</v>
      </c>
      <c r="L21" s="75" t="s">
        <v>294</v>
      </c>
      <c r="M21" s="75">
        <v>39</v>
      </c>
      <c r="N21" s="75" t="s">
        <v>294</v>
      </c>
      <c r="O21" s="75">
        <v>150</v>
      </c>
      <c r="P21" s="75">
        <v>13</v>
      </c>
      <c r="Q21" s="75">
        <v>3.5</v>
      </c>
      <c r="R21" s="75" t="s">
        <v>454</v>
      </c>
      <c r="S21" s="75">
        <v>58</v>
      </c>
      <c r="T21" s="75">
        <v>74</v>
      </c>
      <c r="U21" s="75">
        <v>1.6</v>
      </c>
      <c r="V21" s="75">
        <v>38</v>
      </c>
      <c r="W21" s="75">
        <v>5</v>
      </c>
      <c r="X21" s="75">
        <v>7</v>
      </c>
      <c r="Y21" s="75">
        <v>2.9</v>
      </c>
      <c r="Z21" s="75">
        <v>6.8</v>
      </c>
      <c r="AA21" s="75">
        <v>13</v>
      </c>
      <c r="AB21" s="75">
        <v>2.8</v>
      </c>
      <c r="AC21" s="75" t="s">
        <v>294</v>
      </c>
      <c r="AD21" s="75">
        <v>323</v>
      </c>
      <c r="AE21" s="75">
        <v>160</v>
      </c>
      <c r="AF21" s="75">
        <v>99</v>
      </c>
      <c r="AG21" s="75">
        <v>3.5</v>
      </c>
      <c r="AH21" s="75">
        <v>60</v>
      </c>
      <c r="AI21" s="75" t="s">
        <v>321</v>
      </c>
      <c r="AJ21" s="75">
        <v>24</v>
      </c>
      <c r="AK21" s="75">
        <v>1.6</v>
      </c>
      <c r="AL21" s="75">
        <v>10</v>
      </c>
      <c r="AM21" s="75" t="s">
        <v>294</v>
      </c>
    </row>
    <row r="22" spans="1:39" ht="12.75">
      <c r="A22" s="75" t="s">
        <v>448</v>
      </c>
      <c r="B22" s="75" t="s">
        <v>345</v>
      </c>
      <c r="C22" s="308">
        <v>36721</v>
      </c>
      <c r="D22" s="75"/>
      <c r="E22" s="75"/>
      <c r="F22" s="75"/>
      <c r="G22" s="75"/>
      <c r="H22" s="75">
        <v>22</v>
      </c>
      <c r="I22" s="75">
        <v>10</v>
      </c>
      <c r="J22" s="75">
        <v>370</v>
      </c>
      <c r="K22" s="75">
        <v>3.6</v>
      </c>
      <c r="L22" s="75" t="s">
        <v>294</v>
      </c>
      <c r="M22" s="75">
        <v>12</v>
      </c>
      <c r="N22" s="75">
        <v>49</v>
      </c>
      <c r="O22" s="75">
        <v>164</v>
      </c>
      <c r="P22" s="75">
        <v>21</v>
      </c>
      <c r="Q22" s="75">
        <v>13</v>
      </c>
      <c r="R22" s="75">
        <v>3.3</v>
      </c>
      <c r="S22" s="75">
        <v>83</v>
      </c>
      <c r="T22" s="75">
        <v>44</v>
      </c>
      <c r="U22" s="75" t="s">
        <v>466</v>
      </c>
      <c r="V22" s="75">
        <v>48</v>
      </c>
      <c r="W22" s="75">
        <v>7.3</v>
      </c>
      <c r="X22" s="75">
        <v>2.4</v>
      </c>
      <c r="Y22" s="75">
        <v>2.7</v>
      </c>
      <c r="Z22" s="75">
        <v>15</v>
      </c>
      <c r="AA22" s="75">
        <v>3.3</v>
      </c>
      <c r="AB22" s="75">
        <v>8.8</v>
      </c>
      <c r="AC22" s="75">
        <v>8.6</v>
      </c>
      <c r="AD22" s="75">
        <v>155</v>
      </c>
      <c r="AE22" s="75">
        <v>85</v>
      </c>
      <c r="AF22" s="75">
        <v>28</v>
      </c>
      <c r="AG22" s="75">
        <v>42</v>
      </c>
      <c r="AH22" s="75" t="s">
        <v>294</v>
      </c>
      <c r="AI22" s="75" t="s">
        <v>321</v>
      </c>
      <c r="AJ22" s="75">
        <v>22</v>
      </c>
      <c r="AK22" s="75">
        <v>36</v>
      </c>
      <c r="AL22" s="75" t="s">
        <v>466</v>
      </c>
      <c r="AM22" s="75" t="s">
        <v>294</v>
      </c>
    </row>
    <row r="23" spans="1:39" ht="12.75">
      <c r="A23" s="75" t="s">
        <v>448</v>
      </c>
      <c r="B23" s="75" t="s">
        <v>345</v>
      </c>
      <c r="C23" s="308">
        <v>37106</v>
      </c>
      <c r="D23" s="75"/>
      <c r="E23" s="75"/>
      <c r="F23" s="75"/>
      <c r="G23" s="75"/>
      <c r="H23" s="75">
        <v>44</v>
      </c>
      <c r="I23" s="75">
        <v>8.6</v>
      </c>
      <c r="J23" s="75" t="s">
        <v>294</v>
      </c>
      <c r="K23" s="75" t="s">
        <v>294</v>
      </c>
      <c r="L23" s="75" t="s">
        <v>294</v>
      </c>
      <c r="M23" s="75">
        <v>7</v>
      </c>
      <c r="N23" s="75">
        <v>196</v>
      </c>
      <c r="O23" s="75">
        <v>161</v>
      </c>
      <c r="P23" s="75" t="s">
        <v>454</v>
      </c>
      <c r="Q23" s="75" t="s">
        <v>465</v>
      </c>
      <c r="R23" s="75" t="s">
        <v>454</v>
      </c>
      <c r="S23" s="75">
        <v>62</v>
      </c>
      <c r="T23" s="75">
        <v>69</v>
      </c>
      <c r="U23" s="75" t="s">
        <v>498</v>
      </c>
      <c r="V23" s="75">
        <v>53</v>
      </c>
      <c r="W23" s="75">
        <v>4.6</v>
      </c>
      <c r="X23" s="75">
        <v>4.9</v>
      </c>
      <c r="Y23" s="75">
        <v>2.4</v>
      </c>
      <c r="Z23" s="75">
        <v>5.9</v>
      </c>
      <c r="AA23" s="75" t="s">
        <v>453</v>
      </c>
      <c r="AB23" s="75">
        <v>25</v>
      </c>
      <c r="AC23" s="75" t="s">
        <v>499</v>
      </c>
      <c r="AD23" s="75">
        <v>215</v>
      </c>
      <c r="AE23" s="75">
        <v>145</v>
      </c>
      <c r="AF23" s="75">
        <v>16</v>
      </c>
      <c r="AG23" s="75" t="s">
        <v>453</v>
      </c>
      <c r="AH23" s="75">
        <v>54</v>
      </c>
      <c r="AI23" s="75" t="s">
        <v>321</v>
      </c>
      <c r="AJ23" s="75">
        <v>19</v>
      </c>
      <c r="AK23" s="75" t="s">
        <v>294</v>
      </c>
      <c r="AL23" s="75" t="s">
        <v>500</v>
      </c>
      <c r="AM23" s="75" t="s">
        <v>294</v>
      </c>
    </row>
    <row r="24" spans="1:39" s="276" customFormat="1" ht="12.75">
      <c r="A24" s="302"/>
      <c r="B24" s="302" t="s">
        <v>402</v>
      </c>
      <c r="C24" s="302"/>
      <c r="D24" s="302"/>
      <c r="E24" s="302">
        <f aca="true" t="shared" si="0" ref="E24:AL24">MAX(E3:E23)</f>
        <v>35.8</v>
      </c>
      <c r="F24" s="302"/>
      <c r="G24" s="302"/>
      <c r="H24" s="302">
        <f t="shared" si="0"/>
        <v>2185</v>
      </c>
      <c r="I24" s="302">
        <f t="shared" si="0"/>
        <v>1515</v>
      </c>
      <c r="J24" s="302">
        <f t="shared" si="0"/>
        <v>13000</v>
      </c>
      <c r="K24" s="302">
        <f t="shared" si="0"/>
        <v>31</v>
      </c>
      <c r="L24" s="302">
        <f t="shared" si="0"/>
        <v>69</v>
      </c>
      <c r="M24" s="302">
        <f t="shared" si="0"/>
        <v>81.9</v>
      </c>
      <c r="N24" s="302">
        <f t="shared" si="0"/>
        <v>4002</v>
      </c>
      <c r="O24" s="302">
        <f t="shared" si="0"/>
        <v>546</v>
      </c>
      <c r="P24" s="302">
        <f t="shared" si="0"/>
        <v>64</v>
      </c>
      <c r="Q24" s="302">
        <f t="shared" si="0"/>
        <v>17</v>
      </c>
      <c r="R24" s="302">
        <f t="shared" si="0"/>
        <v>4</v>
      </c>
      <c r="S24" s="302">
        <f t="shared" si="0"/>
        <v>313</v>
      </c>
      <c r="T24" s="302">
        <f t="shared" si="0"/>
        <v>693</v>
      </c>
      <c r="U24" s="302">
        <f t="shared" si="0"/>
        <v>66</v>
      </c>
      <c r="V24" s="302">
        <f t="shared" si="0"/>
        <v>180</v>
      </c>
      <c r="W24" s="302">
        <f t="shared" si="0"/>
        <v>46</v>
      </c>
      <c r="X24" s="302">
        <f t="shared" si="0"/>
        <v>36</v>
      </c>
      <c r="Y24" s="302">
        <f t="shared" si="0"/>
        <v>14</v>
      </c>
      <c r="Z24" s="302">
        <f t="shared" si="0"/>
        <v>29</v>
      </c>
      <c r="AA24" s="302">
        <f t="shared" si="0"/>
        <v>19</v>
      </c>
      <c r="AB24" s="302">
        <f t="shared" si="0"/>
        <v>94</v>
      </c>
      <c r="AC24" s="302">
        <f t="shared" si="0"/>
        <v>60</v>
      </c>
      <c r="AD24" s="302">
        <f t="shared" si="0"/>
        <v>1284</v>
      </c>
      <c r="AE24" s="302">
        <f t="shared" si="0"/>
        <v>496</v>
      </c>
      <c r="AF24" s="302">
        <f t="shared" si="0"/>
        <v>413</v>
      </c>
      <c r="AG24" s="302">
        <f t="shared" si="0"/>
        <v>42</v>
      </c>
      <c r="AH24" s="302">
        <f t="shared" si="0"/>
        <v>703.4</v>
      </c>
      <c r="AI24" s="302"/>
      <c r="AJ24" s="302">
        <f t="shared" si="0"/>
        <v>264</v>
      </c>
      <c r="AK24" s="302">
        <f t="shared" si="0"/>
        <v>36</v>
      </c>
      <c r="AL24" s="302">
        <f t="shared" si="0"/>
        <v>20.2</v>
      </c>
      <c r="AM24" s="302"/>
    </row>
    <row r="25" spans="1:39" s="276" customFormat="1" ht="12.75">
      <c r="A25" s="302"/>
      <c r="B25" s="302" t="s">
        <v>315</v>
      </c>
      <c r="C25" s="302"/>
      <c r="D25" s="302"/>
      <c r="E25" s="302">
        <f aca="true" t="shared" si="1" ref="E25:AL25">AVERAGE(E3:E23)</f>
        <v>35.8</v>
      </c>
      <c r="F25" s="302"/>
      <c r="G25" s="302"/>
      <c r="H25" s="302">
        <f t="shared" si="1"/>
        <v>337.85714285714283</v>
      </c>
      <c r="I25" s="302">
        <f t="shared" si="1"/>
        <v>283.475</v>
      </c>
      <c r="J25" s="302">
        <f t="shared" si="1"/>
        <v>3089.1875</v>
      </c>
      <c r="K25" s="302">
        <f t="shared" si="1"/>
        <v>15.9736</v>
      </c>
      <c r="L25" s="302">
        <f t="shared" si="1"/>
        <v>42.333333333333336</v>
      </c>
      <c r="M25" s="302">
        <f t="shared" si="1"/>
        <v>28.91818181818182</v>
      </c>
      <c r="N25" s="302">
        <f t="shared" si="1"/>
        <v>704.5</v>
      </c>
      <c r="O25" s="302">
        <f t="shared" si="1"/>
        <v>250.58823529411765</v>
      </c>
      <c r="P25" s="302">
        <f t="shared" si="1"/>
        <v>25.975</v>
      </c>
      <c r="Q25" s="302">
        <f t="shared" si="1"/>
        <v>8.007692307692308</v>
      </c>
      <c r="R25" s="302">
        <f t="shared" si="1"/>
        <v>3.1</v>
      </c>
      <c r="S25" s="302">
        <f t="shared" si="1"/>
        <v>117.67647058823529</v>
      </c>
      <c r="T25" s="302">
        <f t="shared" si="1"/>
        <v>114.71111111111112</v>
      </c>
      <c r="U25" s="302">
        <f t="shared" si="1"/>
        <v>29.872727272727275</v>
      </c>
      <c r="V25" s="302">
        <f t="shared" si="1"/>
        <v>100.6888888888889</v>
      </c>
      <c r="W25" s="302">
        <f t="shared" si="1"/>
        <v>23.05294117647059</v>
      </c>
      <c r="X25" s="302">
        <f t="shared" si="1"/>
        <v>20.04444444444444</v>
      </c>
      <c r="Y25" s="302">
        <f t="shared" si="1"/>
        <v>6.885714285714287</v>
      </c>
      <c r="Z25" s="302">
        <f t="shared" si="1"/>
        <v>17.572222222222223</v>
      </c>
      <c r="AA25" s="302">
        <f t="shared" si="1"/>
        <v>7.883333333333333</v>
      </c>
      <c r="AB25" s="302">
        <f t="shared" si="1"/>
        <v>26.013333333333335</v>
      </c>
      <c r="AC25" s="302">
        <f t="shared" si="1"/>
        <v>15.990909090909089</v>
      </c>
      <c r="AD25" s="302">
        <f t="shared" si="1"/>
        <v>588.9526315789474</v>
      </c>
      <c r="AE25" s="302">
        <f t="shared" si="1"/>
        <v>241.38888888888889</v>
      </c>
      <c r="AF25" s="302">
        <f t="shared" si="1"/>
        <v>147.57894736842104</v>
      </c>
      <c r="AG25" s="302">
        <f t="shared" si="1"/>
        <v>12.690000000000001</v>
      </c>
      <c r="AH25" s="302">
        <f t="shared" si="1"/>
        <v>203.61111111111111</v>
      </c>
      <c r="AI25" s="302"/>
      <c r="AJ25" s="302">
        <f t="shared" si="1"/>
        <v>76.41764705882352</v>
      </c>
      <c r="AK25" s="302">
        <f t="shared" si="1"/>
        <v>13.1</v>
      </c>
      <c r="AL25" s="302">
        <f t="shared" si="1"/>
        <v>10.669230769230769</v>
      </c>
      <c r="AM25" s="302"/>
    </row>
  </sheetData>
  <conditionalFormatting sqref="D3:AM23">
    <cfRule type="expression" priority="1" dxfId="0" stopIfTrue="1">
      <formula>IF(LEFT(D3,1)="e",1,0)</formula>
    </cfRule>
  </conditionalFormatting>
  <printOptions/>
  <pageMargins left="0.5" right="0.5" top="1" bottom="1" header="0.5" footer="0.5"/>
  <pageSetup horizontalDpi="600" verticalDpi="600" orientation="landscape" scale="80" r:id="rId1"/>
  <headerFooter alignWithMargins="0">
    <oddHeader>&amp;CRMP Yerba Buena Total Pesticides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40"/>
  <sheetViews>
    <sheetView workbookViewId="0" topLeftCell="A4">
      <pane xSplit="2" ySplit="6" topLeftCell="C1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L27" sqref="L27"/>
    </sheetView>
  </sheetViews>
  <sheetFormatPr defaultColWidth="9.140625" defaultRowHeight="12.75"/>
  <cols>
    <col min="1" max="1" width="9.140625" style="126" customWidth="1"/>
    <col min="2" max="2" width="20.8515625" style="126" customWidth="1"/>
    <col min="3" max="4" width="9.140625" style="126" customWidth="1"/>
    <col min="5" max="5" width="10.8515625" style="126" customWidth="1"/>
    <col min="6" max="6" width="9.140625" style="126" customWidth="1"/>
    <col min="7" max="7" width="15.00390625" style="126" customWidth="1"/>
    <col min="8" max="8" width="2.00390625" style="126" customWidth="1"/>
    <col min="9" max="10" width="9.140625" style="126" customWidth="1"/>
    <col min="11" max="12" width="10.8515625" style="126" customWidth="1"/>
    <col min="13" max="13" width="15.00390625" style="126" customWidth="1"/>
    <col min="14" max="14" width="1.7109375" style="126" customWidth="1"/>
    <col min="15" max="15" width="23.8515625" style="126" customWidth="1"/>
    <col min="16" max="16" width="9.140625" style="245" customWidth="1"/>
    <col min="17" max="16384" width="9.140625" style="126" customWidth="1"/>
  </cols>
  <sheetData>
    <row r="1" ht="11.25"/>
    <row r="2" ht="11.25">
      <c r="A2" s="95" t="s">
        <v>253</v>
      </c>
    </row>
    <row r="3" ht="11.25">
      <c r="A3" s="95" t="s">
        <v>252</v>
      </c>
    </row>
    <row r="4" ht="11.25">
      <c r="A4" s="95"/>
    </row>
    <row r="5" ht="11.25">
      <c r="A5" s="95"/>
    </row>
    <row r="6" ht="12" thickBot="1"/>
    <row r="7" spans="1:16" ht="14.25" thickBot="1" thickTop="1">
      <c r="A7" s="217"/>
      <c r="B7" s="218"/>
      <c r="C7" s="563" t="s">
        <v>267</v>
      </c>
      <c r="D7" s="564"/>
      <c r="E7" s="564"/>
      <c r="F7" s="564"/>
      <c r="G7" s="564"/>
      <c r="H7" s="159"/>
      <c r="I7" s="565" t="s">
        <v>271</v>
      </c>
      <c r="J7" s="566"/>
      <c r="K7" s="566"/>
      <c r="L7" s="566"/>
      <c r="M7" s="567"/>
      <c r="N7" s="159"/>
      <c r="O7" s="275"/>
      <c r="P7" s="357"/>
    </row>
    <row r="8" spans="1:16" ht="26.25" customHeight="1">
      <c r="A8" s="551"/>
      <c r="B8" s="553" t="s">
        <v>6</v>
      </c>
      <c r="C8" s="555" t="s">
        <v>146</v>
      </c>
      <c r="D8" s="557" t="s">
        <v>147</v>
      </c>
      <c r="E8" s="557" t="s">
        <v>242</v>
      </c>
      <c r="F8" s="557" t="s">
        <v>243</v>
      </c>
      <c r="G8" s="561" t="s">
        <v>251</v>
      </c>
      <c r="H8" s="160"/>
      <c r="I8" s="559" t="s">
        <v>264</v>
      </c>
      <c r="J8" s="557" t="s">
        <v>265</v>
      </c>
      <c r="K8" s="557" t="s">
        <v>242</v>
      </c>
      <c r="L8" s="549" t="s">
        <v>266</v>
      </c>
      <c r="M8" s="561" t="s">
        <v>251</v>
      </c>
      <c r="N8" s="160"/>
      <c r="O8" s="549" t="s">
        <v>249</v>
      </c>
      <c r="P8" s="357"/>
    </row>
    <row r="9" spans="1:16" ht="64.5" customHeight="1" thickBot="1">
      <c r="A9" s="552"/>
      <c r="B9" s="554"/>
      <c r="C9" s="556"/>
      <c r="D9" s="558"/>
      <c r="E9" s="558"/>
      <c r="F9" s="558"/>
      <c r="G9" s="562"/>
      <c r="H9" s="161"/>
      <c r="I9" s="560"/>
      <c r="J9" s="558"/>
      <c r="K9" s="558"/>
      <c r="L9" s="568"/>
      <c r="M9" s="562"/>
      <c r="N9" s="161"/>
      <c r="O9" s="550"/>
      <c r="P9" s="357"/>
    </row>
    <row r="10" spans="1:16" ht="12" thickTop="1">
      <c r="A10" s="127">
        <v>1</v>
      </c>
      <c r="B10" s="128" t="s">
        <v>20</v>
      </c>
      <c r="C10" s="232" t="s">
        <v>21</v>
      </c>
      <c r="D10" s="232" t="s">
        <v>21</v>
      </c>
      <c r="E10" s="232">
        <v>1</v>
      </c>
      <c r="F10" s="130"/>
      <c r="G10" s="156">
        <f>IF(C10="","Check input",IF(C10="Y",IF(D10="","Check input",IF(D10="Y",IF(E10="","Check input",IF(F10="","","Check input")),IF(E10="",IF(F10="","Check input",""),"Check input"))),IF(D10="",IF(E10="",IF(F10="","","Check input"),"Check input"),"Check input")))</f>
      </c>
      <c r="H10" s="161"/>
      <c r="I10" s="157" t="s">
        <v>21</v>
      </c>
      <c r="J10" s="129" t="s">
        <v>22</v>
      </c>
      <c r="K10" s="129"/>
      <c r="L10" s="232">
        <v>1.8</v>
      </c>
      <c r="M10" s="130">
        <f>IF(I10="","Check input",IF(I10="Y",IF(J10="","Check input",IF(J10="Y",IF(K10="","Check input",IF(L10="","","Check input")),IF(K10="",IF(L10="","Check input",""),"Check input"))),IF(J10="",IF(K10="",IF(L10="","","Check input"),"Check input"),"Check input")))</f>
      </c>
      <c r="N10" s="161"/>
      <c r="O10" s="129">
        <f>IF(RB2_RPA!C4="No Criteria","No Criteria","")</f>
      </c>
      <c r="P10" s="358"/>
    </row>
    <row r="11" spans="1:16" ht="11.25">
      <c r="A11" s="131">
        <v>2</v>
      </c>
      <c r="B11" s="132" t="s">
        <v>254</v>
      </c>
      <c r="C11" s="134" t="s">
        <v>21</v>
      </c>
      <c r="D11" s="134" t="s">
        <v>22</v>
      </c>
      <c r="E11" s="134"/>
      <c r="F11" s="134">
        <v>4.62</v>
      </c>
      <c r="G11" s="156">
        <f aca="true" t="shared" si="0" ref="G11:G75">IF(C11="","Check input",IF(C11="Y",IF(D11="","Check input",IF(D11="Y",IF(E11="","Check input",IF(F11="","","Check input")),IF(E11="",IF(F11="","Check input",""),"Check input"))),IF(D11="",IF(E11="",IF(F11="","","Check input"),"Check input"),"Check input")))</f>
      </c>
      <c r="H11" s="161"/>
      <c r="I11" s="158" t="s">
        <v>21</v>
      </c>
      <c r="J11" s="133" t="s">
        <v>22</v>
      </c>
      <c r="K11" s="133"/>
      <c r="L11" s="232">
        <v>2.46</v>
      </c>
      <c r="M11" s="130">
        <f aca="true" t="shared" si="1" ref="M11:M75">IF(I11="","Check input",IF(I11="Y",IF(J11="","Check input",IF(J11="Y",IF(K11="","Check input",IF(L11="","","Check input")),IF(K11="",IF(L11="","Check input",""),"Check input"))),IF(J11="",IF(K11="",IF(L11="","","Check input"),"Check input"),"Check input")))</f>
      </c>
      <c r="N11" s="161"/>
      <c r="O11" s="129">
        <f>IF(RB2_RPA!C5="No Criteria","No Criteria","")</f>
      </c>
      <c r="P11" s="359"/>
    </row>
    <row r="12" spans="1:16" ht="11.25">
      <c r="A12" s="131">
        <v>3</v>
      </c>
      <c r="B12" s="132" t="s">
        <v>23</v>
      </c>
      <c r="C12" s="134" t="s">
        <v>21</v>
      </c>
      <c r="D12" s="134" t="s">
        <v>21</v>
      </c>
      <c r="E12" s="134">
        <v>1</v>
      </c>
      <c r="F12" s="134"/>
      <c r="G12" s="156">
        <f t="shared" si="0"/>
      </c>
      <c r="H12" s="161"/>
      <c r="I12" s="158" t="s">
        <v>21</v>
      </c>
      <c r="J12" s="133" t="s">
        <v>22</v>
      </c>
      <c r="K12" s="133"/>
      <c r="L12" s="232">
        <v>0.215</v>
      </c>
      <c r="M12" s="130">
        <f t="shared" si="1"/>
      </c>
      <c r="N12" s="161"/>
      <c r="O12" s="129" t="str">
        <f>IF(RB2_RPA!C6="No Criteria","No Criteria","")</f>
        <v>No Criteria</v>
      </c>
      <c r="P12" s="359"/>
    </row>
    <row r="13" spans="1:16" ht="11.25">
      <c r="A13" s="131">
        <v>4</v>
      </c>
      <c r="B13" s="132" t="s">
        <v>255</v>
      </c>
      <c r="C13" s="134" t="s">
        <v>21</v>
      </c>
      <c r="D13" s="134" t="s">
        <v>22</v>
      </c>
      <c r="E13" s="134"/>
      <c r="F13" s="134">
        <v>1.03</v>
      </c>
      <c r="G13" s="156">
        <f t="shared" si="0"/>
      </c>
      <c r="H13" s="161"/>
      <c r="I13" s="158" t="s">
        <v>21</v>
      </c>
      <c r="J13" s="133" t="s">
        <v>22</v>
      </c>
      <c r="K13" s="133"/>
      <c r="L13" s="232">
        <v>0.1268</v>
      </c>
      <c r="M13" s="130">
        <f t="shared" si="1"/>
      </c>
      <c r="N13" s="161"/>
      <c r="O13" s="129">
        <f>IF(RB2_RPA!C7="No Criteria","No Criteria","")</f>
      </c>
      <c r="P13" s="359"/>
    </row>
    <row r="14" spans="1:16" ht="11.25">
      <c r="A14" s="131" t="s">
        <v>24</v>
      </c>
      <c r="B14" s="132" t="s">
        <v>25</v>
      </c>
      <c r="C14" s="134" t="s">
        <v>22</v>
      </c>
      <c r="D14" s="233"/>
      <c r="E14" s="233"/>
      <c r="F14" s="134"/>
      <c r="G14" s="156">
        <f t="shared" si="0"/>
      </c>
      <c r="H14" s="161"/>
      <c r="I14" s="158" t="s">
        <v>22</v>
      </c>
      <c r="J14" s="136"/>
      <c r="K14" s="136"/>
      <c r="L14" s="232"/>
      <c r="M14" s="130">
        <f t="shared" si="1"/>
      </c>
      <c r="N14" s="161"/>
      <c r="O14" s="129">
        <f>IF(RB2_RPA!C8="No Criteria","No Criteria","")</f>
      </c>
      <c r="P14" s="359"/>
    </row>
    <row r="15" spans="1:16" ht="11.25">
      <c r="A15" s="131" t="s">
        <v>26</v>
      </c>
      <c r="B15" s="132" t="s">
        <v>256</v>
      </c>
      <c r="C15" s="134" t="s">
        <v>21</v>
      </c>
      <c r="D15" s="233" t="s">
        <v>22</v>
      </c>
      <c r="E15" s="233"/>
      <c r="F15" s="134">
        <v>2.53</v>
      </c>
      <c r="G15" s="156">
        <f t="shared" si="0"/>
      </c>
      <c r="H15" s="161"/>
      <c r="I15" s="158" t="s">
        <v>21</v>
      </c>
      <c r="J15" s="133" t="s">
        <v>22</v>
      </c>
      <c r="K15" s="136"/>
      <c r="L15" s="232">
        <v>4.4</v>
      </c>
      <c r="M15" s="130">
        <f>IF(I15="","Check input",IF(I15="Y",IF(J15="","Check input",IF(J15="Y",IF(K15="","Check input",IF(L15="","","Check input")),IF(K15="",IF(L15="","Check input",""),"Check input"))),IF(J15="",IF(K15="",IF(L15="","","Check input"),"Check input"),"Check input")))</f>
      </c>
      <c r="N15" s="161"/>
      <c r="O15" s="129">
        <f>IF(RB2_RPA!C9="No Criteria","No Criteria","")</f>
      </c>
      <c r="P15" s="359"/>
    </row>
    <row r="16" spans="1:16" ht="11.25">
      <c r="A16" s="131">
        <v>6</v>
      </c>
      <c r="B16" s="137" t="s">
        <v>202</v>
      </c>
      <c r="C16" s="134" t="s">
        <v>21</v>
      </c>
      <c r="D16" s="242" t="s">
        <v>22</v>
      </c>
      <c r="E16" s="242"/>
      <c r="F16" s="134">
        <v>21.77</v>
      </c>
      <c r="G16" s="156">
        <f t="shared" si="0"/>
      </c>
      <c r="H16" s="161"/>
      <c r="I16" s="158" t="s">
        <v>21</v>
      </c>
      <c r="J16" s="133" t="s">
        <v>22</v>
      </c>
      <c r="K16" s="138"/>
      <c r="L16" s="232">
        <v>2.45</v>
      </c>
      <c r="M16" s="130">
        <f t="shared" si="1"/>
      </c>
      <c r="N16" s="161"/>
      <c r="O16" s="129">
        <f>IF(RB2_RPA!C10="No Criteria","No Criteria","")</f>
      </c>
      <c r="P16" s="359"/>
    </row>
    <row r="17" spans="1:16" ht="11.25">
      <c r="A17" s="131">
        <v>7</v>
      </c>
      <c r="B17" s="132" t="s">
        <v>257</v>
      </c>
      <c r="C17" s="134" t="s">
        <v>21</v>
      </c>
      <c r="D17" s="233" t="s">
        <v>22</v>
      </c>
      <c r="E17" s="233"/>
      <c r="F17" s="134">
        <v>13.88</v>
      </c>
      <c r="G17" s="156">
        <f t="shared" si="0"/>
      </c>
      <c r="H17" s="161"/>
      <c r="I17" s="158" t="s">
        <v>21</v>
      </c>
      <c r="J17" s="133" t="s">
        <v>22</v>
      </c>
      <c r="K17" s="136"/>
      <c r="L17" s="232">
        <v>0.8</v>
      </c>
      <c r="M17" s="130">
        <f t="shared" si="1"/>
      </c>
      <c r="N17" s="161"/>
      <c r="O17" s="129">
        <f>IF(RB2_RPA!C11="No Criteria","No Criteria","")</f>
      </c>
      <c r="P17" s="359"/>
    </row>
    <row r="18" spans="1:16" ht="11.25">
      <c r="A18" s="131">
        <v>8</v>
      </c>
      <c r="B18" s="137" t="s">
        <v>258</v>
      </c>
      <c r="C18" s="134" t="s">
        <v>21</v>
      </c>
      <c r="D18" s="233" t="s">
        <v>22</v>
      </c>
      <c r="E18" s="233"/>
      <c r="F18" s="134">
        <v>0.0591</v>
      </c>
      <c r="G18" s="156">
        <f t="shared" si="0"/>
      </c>
      <c r="H18" s="161"/>
      <c r="I18" s="158" t="s">
        <v>21</v>
      </c>
      <c r="J18" s="133" t="s">
        <v>22</v>
      </c>
      <c r="K18" s="136"/>
      <c r="L18" s="232">
        <v>0.0086</v>
      </c>
      <c r="M18" s="130">
        <f t="shared" si="1"/>
      </c>
      <c r="N18" s="161"/>
      <c r="O18" s="129">
        <f>IF(RB2_RPA!C12="No Criteria","No Criteria","")</f>
      </c>
      <c r="P18" s="359"/>
    </row>
    <row r="19" spans="1:16" ht="11.25">
      <c r="A19" s="131">
        <v>9</v>
      </c>
      <c r="B19" s="139" t="s">
        <v>556</v>
      </c>
      <c r="C19" s="134" t="s">
        <v>21</v>
      </c>
      <c r="D19" s="233" t="s">
        <v>22</v>
      </c>
      <c r="E19" s="233"/>
      <c r="F19" s="134">
        <v>5.23</v>
      </c>
      <c r="G19" s="156">
        <f t="shared" si="0"/>
      </c>
      <c r="H19" s="161"/>
      <c r="I19" s="158" t="s">
        <v>21</v>
      </c>
      <c r="J19" s="133" t="s">
        <v>22</v>
      </c>
      <c r="K19" s="136"/>
      <c r="L19" s="232">
        <v>3.7</v>
      </c>
      <c r="M19" s="130">
        <f t="shared" si="1"/>
      </c>
      <c r="N19" s="161"/>
      <c r="O19" s="129">
        <f>IF(RB2_RPA!C13="No Criteria","No Criteria","")</f>
      </c>
      <c r="P19" s="359"/>
    </row>
    <row r="20" spans="1:16" ht="11.25">
      <c r="A20" s="131">
        <v>10</v>
      </c>
      <c r="B20" s="137" t="s">
        <v>259</v>
      </c>
      <c r="C20" s="134" t="s">
        <v>21</v>
      </c>
      <c r="D20" s="233" t="s">
        <v>22</v>
      </c>
      <c r="E20" s="233"/>
      <c r="F20" s="134">
        <v>1.07</v>
      </c>
      <c r="G20" s="156">
        <f t="shared" si="0"/>
      </c>
      <c r="H20" s="161"/>
      <c r="I20" s="158" t="s">
        <v>21</v>
      </c>
      <c r="J20" s="133" t="s">
        <v>22</v>
      </c>
      <c r="K20" s="136"/>
      <c r="L20" s="232">
        <v>0.39</v>
      </c>
      <c r="M20" s="130">
        <f t="shared" si="1"/>
      </c>
      <c r="N20" s="161"/>
      <c r="O20" s="129">
        <f>IF(RB2_RPA!C14="No Criteria","No Criteria","")</f>
      </c>
      <c r="P20" s="359"/>
    </row>
    <row r="21" spans="1:16" ht="11.25">
      <c r="A21" s="131">
        <v>11</v>
      </c>
      <c r="B21" s="140" t="s">
        <v>260</v>
      </c>
      <c r="C21" s="134" t="s">
        <v>21</v>
      </c>
      <c r="D21" s="233" t="s">
        <v>22</v>
      </c>
      <c r="E21" s="233"/>
      <c r="F21" s="135">
        <v>3</v>
      </c>
      <c r="G21" s="156">
        <f t="shared" si="0"/>
      </c>
      <c r="H21" s="161"/>
      <c r="I21" s="158" t="s">
        <v>21</v>
      </c>
      <c r="J21" s="133" t="s">
        <v>22</v>
      </c>
      <c r="K21" s="136"/>
      <c r="L21" s="232">
        <v>0.0516</v>
      </c>
      <c r="M21" s="130">
        <f t="shared" si="1"/>
      </c>
      <c r="N21" s="161"/>
      <c r="O21" s="129">
        <f>IF(RB2_RPA!C15="No Criteria","No Criteria","")</f>
      </c>
      <c r="P21" s="359"/>
    </row>
    <row r="22" spans="1:16" ht="11.25">
      <c r="A22" s="131">
        <v>12</v>
      </c>
      <c r="B22" s="132" t="s">
        <v>27</v>
      </c>
      <c r="C22" s="134" t="s">
        <v>21</v>
      </c>
      <c r="D22" s="233" t="s">
        <v>21</v>
      </c>
      <c r="E22" s="233">
        <v>1</v>
      </c>
      <c r="F22" s="135"/>
      <c r="G22" s="156">
        <f t="shared" si="0"/>
      </c>
      <c r="H22" s="161"/>
      <c r="I22" s="158" t="s">
        <v>21</v>
      </c>
      <c r="J22" s="136" t="s">
        <v>22</v>
      </c>
      <c r="K22" s="136"/>
      <c r="L22" s="232">
        <v>0.21</v>
      </c>
      <c r="M22" s="130">
        <f t="shared" si="1"/>
      </c>
      <c r="N22" s="161"/>
      <c r="O22" s="129">
        <f>IF(RB2_RPA!C16="No Criteria","No Criteria","")</f>
      </c>
      <c r="P22" s="359"/>
    </row>
    <row r="23" spans="1:16" ht="11.25">
      <c r="A23" s="131">
        <v>13</v>
      </c>
      <c r="B23" s="137" t="s">
        <v>261</v>
      </c>
      <c r="C23" s="134" t="s">
        <v>21</v>
      </c>
      <c r="D23" s="134" t="s">
        <v>22</v>
      </c>
      <c r="E23" s="134"/>
      <c r="F23" s="247">
        <v>67.2</v>
      </c>
      <c r="G23" s="156">
        <f t="shared" si="0"/>
      </c>
      <c r="H23" s="161"/>
      <c r="I23" s="158" t="s">
        <v>21</v>
      </c>
      <c r="J23" s="133" t="s">
        <v>22</v>
      </c>
      <c r="K23" s="133"/>
      <c r="L23" s="232">
        <v>4.4</v>
      </c>
      <c r="M23" s="130">
        <f t="shared" si="1"/>
      </c>
      <c r="N23" s="161"/>
      <c r="O23" s="129">
        <f>IF(RB2_RPA!C17="No Criteria","No Criteria","")</f>
      </c>
      <c r="P23" s="78"/>
    </row>
    <row r="24" spans="1:16" ht="11.25">
      <c r="A24" s="131">
        <v>14</v>
      </c>
      <c r="B24" s="137" t="s">
        <v>262</v>
      </c>
      <c r="C24" s="134" t="s">
        <v>21</v>
      </c>
      <c r="D24" s="134" t="s">
        <v>22</v>
      </c>
      <c r="E24" s="134"/>
      <c r="F24" s="134">
        <v>2.6</v>
      </c>
      <c r="G24" s="156">
        <f t="shared" si="0"/>
      </c>
      <c r="H24" s="161"/>
      <c r="I24" s="158" t="s">
        <v>21</v>
      </c>
      <c r="J24" s="133" t="s">
        <v>21</v>
      </c>
      <c r="K24" s="133">
        <v>0.4</v>
      </c>
      <c r="L24" s="232"/>
      <c r="M24" s="130">
        <f t="shared" si="1"/>
      </c>
      <c r="N24" s="161"/>
      <c r="O24" s="129">
        <f>IF(RB2_RPA!C18="No Criteria","No Criteria","")</f>
      </c>
      <c r="P24" s="359"/>
    </row>
    <row r="25" spans="1:16" ht="11.25">
      <c r="A25" s="131">
        <v>15</v>
      </c>
      <c r="B25" s="132" t="s">
        <v>28</v>
      </c>
      <c r="C25" s="134" t="s">
        <v>22</v>
      </c>
      <c r="D25" s="134"/>
      <c r="E25" s="134"/>
      <c r="F25" s="135"/>
      <c r="G25" s="156">
        <f t="shared" si="0"/>
      </c>
      <c r="H25" s="161"/>
      <c r="I25" s="158" t="s">
        <v>22</v>
      </c>
      <c r="J25" s="133"/>
      <c r="K25" s="133"/>
      <c r="L25" s="232"/>
      <c r="M25" s="130">
        <f t="shared" si="1"/>
      </c>
      <c r="N25" s="161"/>
      <c r="O25" s="129" t="str">
        <f>IF(RB2_RPA!C19="No Criteria","No Criteria","")</f>
        <v>No Criteria</v>
      </c>
      <c r="P25" s="359"/>
    </row>
    <row r="26" spans="1:16" ht="11.25">
      <c r="A26" s="141">
        <v>16</v>
      </c>
      <c r="B26" s="142" t="s">
        <v>29</v>
      </c>
      <c r="C26" s="134" t="s">
        <v>21</v>
      </c>
      <c r="D26" s="134" t="s">
        <v>21</v>
      </c>
      <c r="E26" s="299">
        <v>9.5E-07</v>
      </c>
      <c r="F26" s="244"/>
      <c r="G26" s="156">
        <f t="shared" si="0"/>
      </c>
      <c r="H26" s="161"/>
      <c r="I26" s="158" t="s">
        <v>21</v>
      </c>
      <c r="J26" s="133" t="s">
        <v>21</v>
      </c>
      <c r="K26" s="364">
        <v>1E-09</v>
      </c>
      <c r="L26" s="239"/>
      <c r="M26" s="130">
        <f t="shared" si="1"/>
      </c>
      <c r="N26" s="161"/>
      <c r="O26" s="129">
        <f>IF(RB2_RPA!C20="No Criteria","No Criteria","")</f>
      </c>
      <c r="P26" s="359"/>
    </row>
    <row r="27" spans="1:16" ht="11.25">
      <c r="A27" s="141"/>
      <c r="B27" s="142" t="s">
        <v>510</v>
      </c>
      <c r="C27" s="134" t="s">
        <v>21</v>
      </c>
      <c r="D27" s="134" t="s">
        <v>21</v>
      </c>
      <c r="E27" s="299">
        <v>9.5E-07</v>
      </c>
      <c r="F27" s="244"/>
      <c r="G27" s="156"/>
      <c r="H27" s="161"/>
      <c r="I27" s="158" t="s">
        <v>21</v>
      </c>
      <c r="J27" s="133" t="s">
        <v>22</v>
      </c>
      <c r="K27" s="133"/>
      <c r="L27" s="239">
        <v>7.1E-08</v>
      </c>
      <c r="M27" s="130"/>
      <c r="N27" s="161"/>
      <c r="O27" s="129"/>
      <c r="P27" s="359"/>
    </row>
    <row r="28" spans="1:16" ht="11.25">
      <c r="A28" s="131">
        <v>17</v>
      </c>
      <c r="B28" s="132" t="s">
        <v>30</v>
      </c>
      <c r="C28" s="134" t="s">
        <v>22</v>
      </c>
      <c r="D28" s="134"/>
      <c r="E28" s="134"/>
      <c r="F28" s="234"/>
      <c r="G28" s="156">
        <f t="shared" si="0"/>
      </c>
      <c r="H28" s="161"/>
      <c r="I28" s="158" t="s">
        <v>21</v>
      </c>
      <c r="J28" s="133" t="s">
        <v>21</v>
      </c>
      <c r="K28" s="133">
        <v>0.5</v>
      </c>
      <c r="L28" s="232"/>
      <c r="M28" s="130">
        <f t="shared" si="1"/>
      </c>
      <c r="N28" s="161"/>
      <c r="O28" s="129">
        <f>IF(RB2_RPA!C22="No Criteria","No Criteria","")</f>
      </c>
      <c r="P28" s="359"/>
    </row>
    <row r="29" spans="1:16" ht="11.25">
      <c r="A29" s="131">
        <v>18</v>
      </c>
      <c r="B29" s="132" t="s">
        <v>31</v>
      </c>
      <c r="C29" s="134" t="s">
        <v>22</v>
      </c>
      <c r="D29" s="134"/>
      <c r="E29" s="134"/>
      <c r="F29" s="235"/>
      <c r="G29" s="156">
        <f t="shared" si="0"/>
      </c>
      <c r="H29" s="161"/>
      <c r="I29" s="158" t="s">
        <v>21</v>
      </c>
      <c r="J29" s="133" t="s">
        <v>22</v>
      </c>
      <c r="K29" s="133"/>
      <c r="L29" s="232">
        <v>0.03</v>
      </c>
      <c r="M29" s="130">
        <f t="shared" si="1"/>
      </c>
      <c r="N29" s="161"/>
      <c r="O29" s="129">
        <f>IF(RB2_RPA!C23="No Criteria","No Criteria","")</f>
      </c>
      <c r="P29" s="359"/>
    </row>
    <row r="30" spans="1:16" ht="11.25">
      <c r="A30" s="131">
        <v>19</v>
      </c>
      <c r="B30" s="132" t="s">
        <v>32</v>
      </c>
      <c r="C30" s="134" t="s">
        <v>21</v>
      </c>
      <c r="D30" s="134" t="s">
        <v>21</v>
      </c>
      <c r="E30" s="134">
        <v>1</v>
      </c>
      <c r="F30" s="234"/>
      <c r="G30" s="156">
        <f t="shared" si="0"/>
      </c>
      <c r="H30" s="161"/>
      <c r="I30" s="158" t="s">
        <v>21</v>
      </c>
      <c r="J30" s="133" t="s">
        <v>21</v>
      </c>
      <c r="K30" s="133">
        <v>0.05</v>
      </c>
      <c r="L30" s="232"/>
      <c r="M30" s="130">
        <f t="shared" si="1"/>
      </c>
      <c r="N30" s="161"/>
      <c r="O30" s="129">
        <f>IF(RB2_RPA!C24="No Criteria","No Criteria","")</f>
      </c>
      <c r="P30" s="359"/>
    </row>
    <row r="31" spans="1:16" ht="11.25">
      <c r="A31" s="131">
        <v>20</v>
      </c>
      <c r="B31" s="132" t="s">
        <v>33</v>
      </c>
      <c r="C31" s="134" t="s">
        <v>22</v>
      </c>
      <c r="D31" s="134"/>
      <c r="E31" s="134"/>
      <c r="F31" s="234"/>
      <c r="G31" s="156">
        <f t="shared" si="0"/>
      </c>
      <c r="H31" s="161"/>
      <c r="I31" s="158" t="s">
        <v>21</v>
      </c>
      <c r="J31" s="133" t="s">
        <v>21</v>
      </c>
      <c r="K31" s="133">
        <v>0.5</v>
      </c>
      <c r="L31" s="232"/>
      <c r="M31" s="130">
        <f t="shared" si="1"/>
      </c>
      <c r="N31" s="161"/>
      <c r="O31" s="129">
        <f>IF(RB2_RPA!C25="No Criteria","No Criteria","")</f>
      </c>
      <c r="P31" s="359"/>
    </row>
    <row r="32" spans="1:16" ht="11.25">
      <c r="A32" s="131">
        <v>21</v>
      </c>
      <c r="B32" s="132" t="s">
        <v>34</v>
      </c>
      <c r="C32" s="134" t="s">
        <v>22</v>
      </c>
      <c r="D32" s="134"/>
      <c r="E32" s="134"/>
      <c r="F32" s="234"/>
      <c r="G32" s="156">
        <f t="shared" si="0"/>
      </c>
      <c r="H32" s="161"/>
      <c r="I32" s="158" t="s">
        <v>21</v>
      </c>
      <c r="J32" s="133" t="s">
        <v>22</v>
      </c>
      <c r="K32" s="133"/>
      <c r="L32" s="232">
        <v>0.06</v>
      </c>
      <c r="M32" s="130">
        <f t="shared" si="1"/>
      </c>
      <c r="N32" s="161"/>
      <c r="O32" s="129">
        <f>IF(RB2_RPA!C26="No Criteria","No Criteria","")</f>
      </c>
      <c r="P32" s="359"/>
    </row>
    <row r="33" spans="1:16" ht="11.25">
      <c r="A33" s="131">
        <v>22</v>
      </c>
      <c r="B33" s="132" t="s">
        <v>35</v>
      </c>
      <c r="C33" s="134" t="s">
        <v>22</v>
      </c>
      <c r="D33" s="134"/>
      <c r="E33" s="134"/>
      <c r="F33" s="234"/>
      <c r="G33" s="156">
        <f t="shared" si="0"/>
      </c>
      <c r="H33" s="161"/>
      <c r="I33" s="158" t="s">
        <v>21</v>
      </c>
      <c r="J33" s="133" t="s">
        <v>21</v>
      </c>
      <c r="K33" s="133">
        <v>0.5</v>
      </c>
      <c r="L33" s="232"/>
      <c r="M33" s="130">
        <f t="shared" si="1"/>
      </c>
      <c r="N33" s="161"/>
      <c r="O33" s="129">
        <f>IF(RB2_RPA!C27="No Criteria","No Criteria","")</f>
      </c>
      <c r="P33" s="359"/>
    </row>
    <row r="34" spans="1:16" ht="11.25">
      <c r="A34" s="131">
        <v>23</v>
      </c>
      <c r="B34" s="132" t="s">
        <v>36</v>
      </c>
      <c r="C34" s="134" t="s">
        <v>22</v>
      </c>
      <c r="D34" s="134"/>
      <c r="E34" s="245"/>
      <c r="F34" s="134"/>
      <c r="G34" s="156">
        <f t="shared" si="0"/>
      </c>
      <c r="H34" s="161"/>
      <c r="I34" s="158" t="s">
        <v>21</v>
      </c>
      <c r="J34" s="133" t="s">
        <v>21</v>
      </c>
      <c r="K34" s="133">
        <v>0.05</v>
      </c>
      <c r="L34" s="232"/>
      <c r="M34" s="130">
        <f t="shared" si="1"/>
      </c>
      <c r="N34" s="161"/>
      <c r="O34" s="129">
        <f>IF(RB2_RPA!C28="No Criteria","No Criteria","")</f>
      </c>
      <c r="P34" s="359"/>
    </row>
    <row r="35" spans="1:16" ht="11.25">
      <c r="A35" s="131">
        <v>24</v>
      </c>
      <c r="B35" s="132" t="s">
        <v>37</v>
      </c>
      <c r="C35" s="134" t="s">
        <v>22</v>
      </c>
      <c r="D35" s="134"/>
      <c r="E35" s="134"/>
      <c r="F35" s="135"/>
      <c r="G35" s="156">
        <f t="shared" si="0"/>
      </c>
      <c r="H35" s="161"/>
      <c r="I35" s="158" t="s">
        <v>21</v>
      </c>
      <c r="J35" s="133" t="s">
        <v>21</v>
      </c>
      <c r="K35" s="133">
        <v>0.5</v>
      </c>
      <c r="L35" s="130"/>
      <c r="M35" s="130">
        <f t="shared" si="1"/>
      </c>
      <c r="N35" s="161"/>
      <c r="O35" s="129" t="str">
        <f>IF(RB2_RPA!C29="No Criteria","No Criteria","")</f>
        <v>No Criteria</v>
      </c>
      <c r="P35" s="359"/>
    </row>
    <row r="36" spans="1:16" ht="11.25">
      <c r="A36" s="131">
        <v>25</v>
      </c>
      <c r="B36" s="132" t="s">
        <v>38</v>
      </c>
      <c r="C36" s="134" t="s">
        <v>22</v>
      </c>
      <c r="D36" s="134"/>
      <c r="E36" s="134"/>
      <c r="F36" s="235"/>
      <c r="G36" s="156">
        <f t="shared" si="0"/>
      </c>
      <c r="H36" s="161"/>
      <c r="I36" s="158" t="s">
        <v>21</v>
      </c>
      <c r="J36" s="133" t="s">
        <v>21</v>
      </c>
      <c r="K36" s="133">
        <v>0.5</v>
      </c>
      <c r="L36" s="130"/>
      <c r="M36" s="130">
        <f t="shared" si="1"/>
      </c>
      <c r="N36" s="161"/>
      <c r="O36" s="129" t="str">
        <f>IF(RB2_RPA!C30="No Criteria","No Criteria","")</f>
        <v>No Criteria</v>
      </c>
      <c r="P36" s="359"/>
    </row>
    <row r="37" spans="1:16" ht="11.25">
      <c r="A37" s="131">
        <v>26</v>
      </c>
      <c r="B37" s="132" t="s">
        <v>39</v>
      </c>
      <c r="C37" s="134" t="s">
        <v>21</v>
      </c>
      <c r="D37" s="134" t="s">
        <v>22</v>
      </c>
      <c r="E37" s="134"/>
      <c r="F37" s="134">
        <v>5.8</v>
      </c>
      <c r="G37" s="156">
        <f t="shared" si="0"/>
      </c>
      <c r="H37" s="161"/>
      <c r="I37" s="158" t="s">
        <v>21</v>
      </c>
      <c r="J37" s="133" t="s">
        <v>21</v>
      </c>
      <c r="K37" s="133">
        <v>0.5</v>
      </c>
      <c r="L37" s="130"/>
      <c r="M37" s="130">
        <f t="shared" si="1"/>
      </c>
      <c r="N37" s="161"/>
      <c r="O37" s="129" t="str">
        <f>IF(RB2_RPA!C31="No Criteria","No Criteria","")</f>
        <v>No Criteria</v>
      </c>
      <c r="P37" s="359"/>
    </row>
    <row r="38" spans="1:16" ht="11.25">
      <c r="A38" s="131">
        <v>27</v>
      </c>
      <c r="B38" s="132" t="s">
        <v>40</v>
      </c>
      <c r="C38" s="134" t="s">
        <v>22</v>
      </c>
      <c r="D38" s="134"/>
      <c r="E38" s="134"/>
      <c r="F38" s="243"/>
      <c r="G38" s="156">
        <f t="shared" si="0"/>
      </c>
      <c r="H38" s="161"/>
      <c r="I38" s="158" t="s">
        <v>21</v>
      </c>
      <c r="J38" s="133" t="s">
        <v>21</v>
      </c>
      <c r="K38" s="133">
        <v>0.05</v>
      </c>
      <c r="L38" s="130"/>
      <c r="M38" s="130">
        <f t="shared" si="1"/>
      </c>
      <c r="N38" s="161"/>
      <c r="O38" s="129">
        <f>IF(RB2_RPA!C32="No Criteria","No Criteria","")</f>
      </c>
      <c r="P38" s="359"/>
    </row>
    <row r="39" spans="1:16" ht="11.25">
      <c r="A39" s="131">
        <v>28</v>
      </c>
      <c r="B39" s="132" t="s">
        <v>41</v>
      </c>
      <c r="C39" s="134" t="s">
        <v>22</v>
      </c>
      <c r="D39" s="134"/>
      <c r="E39" s="134"/>
      <c r="F39" s="235"/>
      <c r="G39" s="156">
        <f t="shared" si="0"/>
      </c>
      <c r="H39" s="161"/>
      <c r="I39" s="158" t="s">
        <v>21</v>
      </c>
      <c r="J39" s="133" t="s">
        <v>21</v>
      </c>
      <c r="K39" s="133">
        <v>0.05</v>
      </c>
      <c r="L39" s="130"/>
      <c r="M39" s="130">
        <f t="shared" si="1"/>
      </c>
      <c r="N39" s="161"/>
      <c r="O39" s="129" t="str">
        <f>IF(RB2_RPA!C33="No Criteria","No Criteria","")</f>
        <v>No Criteria</v>
      </c>
      <c r="P39" s="359"/>
    </row>
    <row r="40" spans="1:16" ht="11.25">
      <c r="A40" s="131">
        <v>29</v>
      </c>
      <c r="B40" s="132" t="s">
        <v>42</v>
      </c>
      <c r="C40" s="134" t="s">
        <v>22</v>
      </c>
      <c r="D40" s="134"/>
      <c r="E40" s="134"/>
      <c r="F40" s="234"/>
      <c r="G40" s="156">
        <f t="shared" si="0"/>
      </c>
      <c r="H40" s="161"/>
      <c r="I40" s="158" t="s">
        <v>21</v>
      </c>
      <c r="J40" s="133" t="s">
        <v>22</v>
      </c>
      <c r="K40" s="133"/>
      <c r="L40" s="130">
        <v>0.04</v>
      </c>
      <c r="M40" s="130">
        <f t="shared" si="1"/>
      </c>
      <c r="N40" s="161"/>
      <c r="O40" s="129">
        <f>IF(RB2_RPA!C34="No Criteria","No Criteria","")</f>
      </c>
      <c r="P40" s="359"/>
    </row>
    <row r="41" spans="1:16" ht="11.25">
      <c r="A41" s="131">
        <v>30</v>
      </c>
      <c r="B41" s="132" t="s">
        <v>43</v>
      </c>
      <c r="C41" s="134" t="s">
        <v>22</v>
      </c>
      <c r="D41" s="134"/>
      <c r="E41" s="134"/>
      <c r="F41" s="234"/>
      <c r="G41" s="156">
        <f t="shared" si="0"/>
      </c>
      <c r="H41" s="161"/>
      <c r="I41" s="158" t="s">
        <v>21</v>
      </c>
      <c r="J41" s="133" t="s">
        <v>21</v>
      </c>
      <c r="K41" s="133">
        <v>0.5</v>
      </c>
      <c r="L41" s="130"/>
      <c r="M41" s="130">
        <f t="shared" si="1"/>
      </c>
      <c r="N41" s="161"/>
      <c r="O41" s="129">
        <f>IF(RB2_RPA!C35="No Criteria","No Criteria","")</f>
      </c>
      <c r="P41" s="359"/>
    </row>
    <row r="42" spans="1:16" ht="11.25">
      <c r="A42" s="131">
        <v>31</v>
      </c>
      <c r="B42" s="132" t="s">
        <v>44</v>
      </c>
      <c r="C42" s="134" t="s">
        <v>22</v>
      </c>
      <c r="D42" s="134"/>
      <c r="E42" s="134"/>
      <c r="F42" s="234"/>
      <c r="G42" s="156">
        <f t="shared" si="0"/>
      </c>
      <c r="H42" s="161"/>
      <c r="I42" s="158" t="s">
        <v>21</v>
      </c>
      <c r="J42" s="133" t="s">
        <v>21</v>
      </c>
      <c r="K42" s="133">
        <v>0.05</v>
      </c>
      <c r="L42" s="130"/>
      <c r="M42" s="130">
        <f t="shared" si="1"/>
      </c>
      <c r="N42" s="161"/>
      <c r="O42" s="129">
        <f>IF(RB2_RPA!C36="No Criteria","No Criteria","")</f>
      </c>
      <c r="P42" s="359"/>
    </row>
    <row r="43" spans="1:16" ht="11.25">
      <c r="A43" s="131">
        <v>32</v>
      </c>
      <c r="B43" s="132" t="s">
        <v>45</v>
      </c>
      <c r="C43" s="134" t="s">
        <v>22</v>
      </c>
      <c r="D43" s="134"/>
      <c r="E43" s="134"/>
      <c r="F43" s="234"/>
      <c r="G43" s="156">
        <f t="shared" si="0"/>
      </c>
      <c r="H43" s="161"/>
      <c r="I43" s="158" t="s">
        <v>22</v>
      </c>
      <c r="J43" s="133"/>
      <c r="K43" s="133"/>
      <c r="L43" s="130"/>
      <c r="M43" s="130">
        <f t="shared" si="1"/>
      </c>
      <c r="N43" s="161"/>
      <c r="O43" s="129">
        <f>IF(RB2_RPA!C37="No Criteria","No Criteria","")</f>
      </c>
      <c r="P43" s="359"/>
    </row>
    <row r="44" spans="1:16" ht="11.25">
      <c r="A44" s="131">
        <v>33</v>
      </c>
      <c r="B44" s="132" t="s">
        <v>46</v>
      </c>
      <c r="C44" s="134" t="s">
        <v>22</v>
      </c>
      <c r="D44" s="134"/>
      <c r="E44" s="134"/>
      <c r="F44" s="236"/>
      <c r="G44" s="156">
        <f t="shared" si="0"/>
      </c>
      <c r="H44" s="161"/>
      <c r="I44" s="158" t="s">
        <v>21</v>
      </c>
      <c r="J44" s="133" t="s">
        <v>21</v>
      </c>
      <c r="K44" s="133">
        <v>0.5</v>
      </c>
      <c r="L44" s="130"/>
      <c r="M44" s="130">
        <f t="shared" si="1"/>
      </c>
      <c r="N44" s="161"/>
      <c r="O44" s="129">
        <f>IF(RB2_RPA!C38="No Criteria","No Criteria","")</f>
      </c>
      <c r="P44" s="359"/>
    </row>
    <row r="45" spans="1:16" ht="11.25">
      <c r="A45" s="131">
        <v>34</v>
      </c>
      <c r="B45" s="132" t="s">
        <v>47</v>
      </c>
      <c r="C45" s="134" t="s">
        <v>22</v>
      </c>
      <c r="D45" s="134"/>
      <c r="E45" s="134"/>
      <c r="F45" s="235"/>
      <c r="G45" s="156">
        <f t="shared" si="0"/>
      </c>
      <c r="H45" s="161"/>
      <c r="I45" s="158" t="s">
        <v>21</v>
      </c>
      <c r="J45" s="133" t="s">
        <v>21</v>
      </c>
      <c r="K45" s="133">
        <v>0.5</v>
      </c>
      <c r="L45" s="130"/>
      <c r="M45" s="130">
        <f t="shared" si="1"/>
      </c>
      <c r="N45" s="161"/>
      <c r="O45" s="129">
        <f>IF(RB2_RPA!C39="No Criteria","No Criteria","")</f>
      </c>
      <c r="P45" s="359"/>
    </row>
    <row r="46" spans="1:16" ht="11.25">
      <c r="A46" s="131">
        <v>35</v>
      </c>
      <c r="B46" s="132" t="s">
        <v>48</v>
      </c>
      <c r="C46" s="134" t="s">
        <v>22</v>
      </c>
      <c r="D46" s="134"/>
      <c r="E46" s="134"/>
      <c r="F46" s="235"/>
      <c r="G46" s="156">
        <f t="shared" si="0"/>
      </c>
      <c r="H46" s="161"/>
      <c r="I46" s="158" t="s">
        <v>21</v>
      </c>
      <c r="J46" s="133" t="s">
        <v>21</v>
      </c>
      <c r="K46" s="133">
        <v>0.5</v>
      </c>
      <c r="L46" s="130"/>
      <c r="M46" s="130">
        <f t="shared" si="1"/>
      </c>
      <c r="N46" s="161"/>
      <c r="O46" s="129" t="str">
        <f>IF(RB2_RPA!C40="No Criteria","No Criteria","")</f>
        <v>No Criteria</v>
      </c>
      <c r="P46" s="359"/>
    </row>
    <row r="47" spans="1:16" ht="11.25">
      <c r="A47" s="131">
        <v>36</v>
      </c>
      <c r="B47" s="132" t="s">
        <v>49</v>
      </c>
      <c r="C47" s="134" t="s">
        <v>21</v>
      </c>
      <c r="D47" s="134" t="s">
        <v>21</v>
      </c>
      <c r="E47" s="134">
        <v>1</v>
      </c>
      <c r="F47" s="234"/>
      <c r="G47" s="156">
        <f t="shared" si="0"/>
      </c>
      <c r="H47" s="161"/>
      <c r="I47" s="158" t="s">
        <v>21</v>
      </c>
      <c r="J47" s="133" t="s">
        <v>22</v>
      </c>
      <c r="K47" s="133"/>
      <c r="L47" s="130">
        <v>0.5</v>
      </c>
      <c r="M47" s="130">
        <f t="shared" si="1"/>
      </c>
      <c r="N47" s="161"/>
      <c r="O47" s="129">
        <f>IF(RB2_RPA!C41="No Criteria","No Criteria","")</f>
      </c>
      <c r="P47" s="359"/>
    </row>
    <row r="48" spans="1:16" ht="11.25">
      <c r="A48" s="131">
        <v>37</v>
      </c>
      <c r="B48" s="132" t="s">
        <v>50</v>
      </c>
      <c r="C48" s="134" t="s">
        <v>22</v>
      </c>
      <c r="D48" s="134"/>
      <c r="E48" s="134"/>
      <c r="F48" s="234"/>
      <c r="G48" s="156">
        <f t="shared" si="0"/>
      </c>
      <c r="H48" s="161"/>
      <c r="I48" s="158" t="s">
        <v>21</v>
      </c>
      <c r="J48" s="133" t="s">
        <v>21</v>
      </c>
      <c r="K48" s="133">
        <v>0.05</v>
      </c>
      <c r="L48" s="130"/>
      <c r="M48" s="130">
        <f t="shared" si="1"/>
      </c>
      <c r="N48" s="161"/>
      <c r="O48" s="129">
        <f>IF(RB2_RPA!C42="No Criteria","No Criteria","")</f>
      </c>
      <c r="P48" s="359"/>
    </row>
    <row r="49" spans="1:16" ht="11.25">
      <c r="A49" s="131">
        <v>38</v>
      </c>
      <c r="B49" s="132" t="s">
        <v>51</v>
      </c>
      <c r="C49" s="134" t="s">
        <v>22</v>
      </c>
      <c r="D49" s="134"/>
      <c r="E49" s="134"/>
      <c r="F49" s="234"/>
      <c r="G49" s="156">
        <f t="shared" si="0"/>
      </c>
      <c r="H49" s="161"/>
      <c r="I49" s="158" t="s">
        <v>21</v>
      </c>
      <c r="J49" s="133" t="s">
        <v>21</v>
      </c>
      <c r="K49" s="133">
        <v>0.05</v>
      </c>
      <c r="L49" s="130"/>
      <c r="M49" s="130">
        <f t="shared" si="1"/>
      </c>
      <c r="N49" s="161"/>
      <c r="O49" s="129">
        <f>IF(RB2_RPA!C43="No Criteria","No Criteria","")</f>
      </c>
      <c r="P49" s="359"/>
    </row>
    <row r="50" spans="1:16" ht="11.25">
      <c r="A50" s="131">
        <v>39</v>
      </c>
      <c r="B50" s="132" t="s">
        <v>52</v>
      </c>
      <c r="C50" s="134" t="s">
        <v>21</v>
      </c>
      <c r="D50" s="134" t="s">
        <v>21</v>
      </c>
      <c r="E50" s="134">
        <v>1</v>
      </c>
      <c r="F50" s="235"/>
      <c r="G50" s="156">
        <f t="shared" si="0"/>
      </c>
      <c r="H50" s="161"/>
      <c r="I50" s="158" t="s">
        <v>21</v>
      </c>
      <c r="J50" s="133" t="s">
        <v>21</v>
      </c>
      <c r="K50" s="133">
        <v>0.3</v>
      </c>
      <c r="L50" s="130"/>
      <c r="M50" s="130">
        <f t="shared" si="1"/>
      </c>
      <c r="N50" s="161"/>
      <c r="O50" s="129">
        <f>IF(RB2_RPA!C44="No Criteria","No Criteria","")</f>
      </c>
      <c r="P50" s="359"/>
    </row>
    <row r="51" spans="1:16" ht="11.25">
      <c r="A51" s="131">
        <v>40</v>
      </c>
      <c r="B51" s="132" t="s">
        <v>53</v>
      </c>
      <c r="C51" s="134" t="s">
        <v>22</v>
      </c>
      <c r="D51" s="134"/>
      <c r="E51" s="134"/>
      <c r="F51" s="234"/>
      <c r="G51" s="156">
        <f t="shared" si="0"/>
      </c>
      <c r="H51" s="161"/>
      <c r="I51" s="158" t="s">
        <v>21</v>
      </c>
      <c r="J51" s="133" t="s">
        <v>21</v>
      </c>
      <c r="K51" s="133">
        <v>0.5</v>
      </c>
      <c r="L51" s="130"/>
      <c r="M51" s="130">
        <f t="shared" si="1"/>
      </c>
      <c r="N51" s="161"/>
      <c r="O51" s="129">
        <f>IF(RB2_RPA!C45="No Criteria","No Criteria","")</f>
      </c>
      <c r="P51" s="359"/>
    </row>
    <row r="52" spans="1:16" ht="11.25">
      <c r="A52" s="131">
        <v>41</v>
      </c>
      <c r="B52" s="132" t="s">
        <v>54</v>
      </c>
      <c r="C52" s="134" t="s">
        <v>22</v>
      </c>
      <c r="D52" s="134"/>
      <c r="E52" s="134"/>
      <c r="F52" s="235"/>
      <c r="G52" s="156">
        <f t="shared" si="0"/>
      </c>
      <c r="H52" s="161"/>
      <c r="I52" s="158" t="s">
        <v>21</v>
      </c>
      <c r="J52" s="133" t="s">
        <v>21</v>
      </c>
      <c r="K52" s="133">
        <v>0.5</v>
      </c>
      <c r="L52" s="130"/>
      <c r="M52" s="130">
        <f t="shared" si="1"/>
      </c>
      <c r="N52" s="161"/>
      <c r="O52" s="129" t="str">
        <f>IF(RB2_RPA!C46="No Criteria","No Criteria","")</f>
        <v>No Criteria</v>
      </c>
      <c r="P52" s="359"/>
    </row>
    <row r="53" spans="1:16" ht="11.25">
      <c r="A53" s="131">
        <v>42</v>
      </c>
      <c r="B53" s="132" t="s">
        <v>55</v>
      </c>
      <c r="C53" s="134" t="s">
        <v>22</v>
      </c>
      <c r="D53" s="134"/>
      <c r="E53" s="134"/>
      <c r="F53" s="234"/>
      <c r="G53" s="156">
        <f t="shared" si="0"/>
      </c>
      <c r="H53" s="161"/>
      <c r="I53" s="158" t="s">
        <v>21</v>
      </c>
      <c r="J53" s="133" t="s">
        <v>21</v>
      </c>
      <c r="K53" s="133">
        <v>0.05</v>
      </c>
      <c r="L53" s="130"/>
      <c r="M53" s="130">
        <f t="shared" si="1"/>
      </c>
      <c r="N53" s="161"/>
      <c r="O53" s="129">
        <f>IF(RB2_RPA!C47="No Criteria","No Criteria","")</f>
      </c>
      <c r="P53" s="359"/>
    </row>
    <row r="54" spans="1:16" ht="11.25">
      <c r="A54" s="131">
        <v>43</v>
      </c>
      <c r="B54" s="132" t="s">
        <v>56</v>
      </c>
      <c r="C54" s="134" t="s">
        <v>22</v>
      </c>
      <c r="D54" s="134"/>
      <c r="E54" s="134"/>
      <c r="F54" s="234"/>
      <c r="G54" s="156">
        <f t="shared" si="0"/>
      </c>
      <c r="H54" s="161"/>
      <c r="I54" s="158" t="s">
        <v>21</v>
      </c>
      <c r="J54" s="133" t="s">
        <v>21</v>
      </c>
      <c r="K54" s="133">
        <v>0.5</v>
      </c>
      <c r="L54" s="130"/>
      <c r="M54" s="130">
        <f t="shared" si="1"/>
      </c>
      <c r="N54" s="161"/>
      <c r="O54" s="129">
        <f>IF(RB2_RPA!C48="No Criteria","No Criteria","")</f>
      </c>
      <c r="P54" s="359"/>
    </row>
    <row r="55" spans="1:16" ht="11.25">
      <c r="A55" s="131">
        <v>44</v>
      </c>
      <c r="B55" s="132" t="s">
        <v>57</v>
      </c>
      <c r="C55" s="134" t="s">
        <v>22</v>
      </c>
      <c r="D55" s="134"/>
      <c r="E55" s="134"/>
      <c r="F55" s="234"/>
      <c r="G55" s="156">
        <f t="shared" si="0"/>
      </c>
      <c r="H55" s="161"/>
      <c r="I55" s="158" t="s">
        <v>21</v>
      </c>
      <c r="J55" s="133" t="s">
        <v>21</v>
      </c>
      <c r="K55" s="133">
        <v>0.5</v>
      </c>
      <c r="L55" s="130"/>
      <c r="M55" s="130">
        <f t="shared" si="1"/>
      </c>
      <c r="N55" s="161"/>
      <c r="O55" s="129">
        <f>IF(RB2_RPA!C49="No Criteria","No Criteria","")</f>
      </c>
      <c r="P55" s="359"/>
    </row>
    <row r="56" spans="1:16" ht="11.25">
      <c r="A56" s="131">
        <v>45</v>
      </c>
      <c r="B56" s="132" t="s">
        <v>58</v>
      </c>
      <c r="C56" s="134" t="s">
        <v>21</v>
      </c>
      <c r="D56" s="134" t="s">
        <v>21</v>
      </c>
      <c r="E56" s="134">
        <v>10</v>
      </c>
      <c r="F56" s="234"/>
      <c r="G56" s="156">
        <f t="shared" si="0"/>
      </c>
      <c r="H56" s="161"/>
      <c r="I56" s="158" t="s">
        <v>21</v>
      </c>
      <c r="J56" s="133" t="s">
        <v>21</v>
      </c>
      <c r="K56" s="133">
        <v>1.2</v>
      </c>
      <c r="L56" s="130"/>
      <c r="M56" s="130">
        <f t="shared" si="1"/>
      </c>
      <c r="N56" s="161"/>
      <c r="O56" s="129">
        <f>IF(RB2_RPA!C50="No Criteria","No Criteria","")</f>
      </c>
      <c r="P56" s="359"/>
    </row>
    <row r="57" spans="1:16" ht="11.25">
      <c r="A57" s="131">
        <v>46</v>
      </c>
      <c r="B57" s="132" t="s">
        <v>59</v>
      </c>
      <c r="C57" s="134" t="s">
        <v>21</v>
      </c>
      <c r="D57" s="134" t="s">
        <v>21</v>
      </c>
      <c r="E57" s="134">
        <v>10</v>
      </c>
      <c r="F57" s="234"/>
      <c r="G57" s="156">
        <f t="shared" si="0"/>
      </c>
      <c r="H57" s="161"/>
      <c r="I57" s="158" t="s">
        <v>21</v>
      </c>
      <c r="J57" s="133" t="s">
        <v>21</v>
      </c>
      <c r="K57" s="133">
        <v>1.3</v>
      </c>
      <c r="L57" s="130"/>
      <c r="M57" s="130">
        <f t="shared" si="1"/>
      </c>
      <c r="N57" s="161"/>
      <c r="O57" s="129">
        <f>IF(RB2_RPA!C51="No Criteria","No Criteria","")</f>
      </c>
      <c r="P57" s="359"/>
    </row>
    <row r="58" spans="1:16" ht="11.25">
      <c r="A58" s="131">
        <v>47</v>
      </c>
      <c r="B58" s="132" t="s">
        <v>60</v>
      </c>
      <c r="C58" s="134" t="s">
        <v>21</v>
      </c>
      <c r="D58" s="134" t="s">
        <v>21</v>
      </c>
      <c r="E58" s="134">
        <v>10</v>
      </c>
      <c r="F58" s="234"/>
      <c r="G58" s="156">
        <f t="shared" si="0"/>
      </c>
      <c r="H58" s="161"/>
      <c r="I58" s="158" t="s">
        <v>21</v>
      </c>
      <c r="J58" s="133" t="s">
        <v>21</v>
      </c>
      <c r="K58" s="133">
        <v>1.3</v>
      </c>
      <c r="L58" s="130"/>
      <c r="M58" s="130">
        <f t="shared" si="1"/>
      </c>
      <c r="N58" s="161"/>
      <c r="O58" s="129">
        <f>IF(RB2_RPA!C52="No Criteria","No Criteria","")</f>
      </c>
      <c r="P58" s="359"/>
    </row>
    <row r="59" spans="1:16" ht="11.25">
      <c r="A59" s="131">
        <v>48</v>
      </c>
      <c r="B59" s="132" t="s">
        <v>61</v>
      </c>
      <c r="C59" s="134" t="s">
        <v>22</v>
      </c>
      <c r="D59" s="134"/>
      <c r="E59" s="134"/>
      <c r="F59" s="234"/>
      <c r="G59" s="156">
        <f t="shared" si="0"/>
      </c>
      <c r="H59" s="161"/>
      <c r="I59" s="158" t="s">
        <v>21</v>
      </c>
      <c r="J59" s="134" t="s">
        <v>21</v>
      </c>
      <c r="K59" s="134">
        <v>1.2</v>
      </c>
      <c r="L59" s="130"/>
      <c r="M59" s="130">
        <f t="shared" si="1"/>
      </c>
      <c r="N59" s="161"/>
      <c r="O59" s="129">
        <f>IF(RB2_RPA!C53="No Criteria","No Criteria","")</f>
      </c>
      <c r="P59" s="359"/>
    </row>
    <row r="60" spans="1:16" ht="11.25">
      <c r="A60" s="131">
        <v>49</v>
      </c>
      <c r="B60" s="132" t="s">
        <v>62</v>
      </c>
      <c r="C60" s="134" t="s">
        <v>21</v>
      </c>
      <c r="D60" s="134" t="s">
        <v>21</v>
      </c>
      <c r="E60" s="134">
        <v>100</v>
      </c>
      <c r="F60" s="234"/>
      <c r="G60" s="156">
        <f t="shared" si="0"/>
      </c>
      <c r="H60" s="161"/>
      <c r="I60" s="158" t="s">
        <v>21</v>
      </c>
      <c r="J60" s="133" t="s">
        <v>21</v>
      </c>
      <c r="K60" s="133">
        <v>0.7</v>
      </c>
      <c r="L60" s="130"/>
      <c r="M60" s="130">
        <f t="shared" si="1"/>
      </c>
      <c r="N60" s="161"/>
      <c r="O60" s="129">
        <f>IF(RB2_RPA!C54="No Criteria","No Criteria","")</f>
      </c>
      <c r="P60" s="359"/>
    </row>
    <row r="61" spans="1:16" ht="11.25">
      <c r="A61" s="131">
        <v>50</v>
      </c>
      <c r="B61" s="132" t="s">
        <v>63</v>
      </c>
      <c r="C61" s="134" t="s">
        <v>21</v>
      </c>
      <c r="D61" s="134" t="s">
        <v>21</v>
      </c>
      <c r="E61" s="134">
        <v>10</v>
      </c>
      <c r="F61" s="237"/>
      <c r="G61" s="156">
        <f t="shared" si="0"/>
      </c>
      <c r="H61" s="161"/>
      <c r="I61" s="158" t="s">
        <v>21</v>
      </c>
      <c r="J61" s="133" t="s">
        <v>21</v>
      </c>
      <c r="K61" s="133">
        <v>1.3</v>
      </c>
      <c r="L61" s="130"/>
      <c r="M61" s="130">
        <f t="shared" si="1"/>
      </c>
      <c r="N61" s="161"/>
      <c r="O61" s="129" t="str">
        <f>IF(RB2_RPA!C55="No Criteria","No Criteria","")</f>
        <v>No Criteria</v>
      </c>
      <c r="P61" s="359"/>
    </row>
    <row r="62" spans="1:16" ht="11.25">
      <c r="A62" s="131">
        <v>51</v>
      </c>
      <c r="B62" s="132" t="s">
        <v>64</v>
      </c>
      <c r="C62" s="134" t="s">
        <v>21</v>
      </c>
      <c r="D62" s="134" t="s">
        <v>21</v>
      </c>
      <c r="E62" s="134">
        <v>20</v>
      </c>
      <c r="F62" s="235"/>
      <c r="G62" s="156">
        <f t="shared" si="0"/>
      </c>
      <c r="H62" s="161"/>
      <c r="I62" s="158" t="s">
        <v>21</v>
      </c>
      <c r="J62" s="133" t="s">
        <v>21</v>
      </c>
      <c r="K62" s="133">
        <v>1.6</v>
      </c>
      <c r="L62" s="130"/>
      <c r="M62" s="130">
        <f t="shared" si="1"/>
      </c>
      <c r="N62" s="161"/>
      <c r="O62" s="129" t="str">
        <f>IF(RB2_RPA!C56="No Criteria","No Criteria","")</f>
        <v>No Criteria</v>
      </c>
      <c r="P62" s="359"/>
    </row>
    <row r="63" spans="1:16" ht="11.25">
      <c r="A63" s="131">
        <v>52</v>
      </c>
      <c r="B63" s="132" t="s">
        <v>65</v>
      </c>
      <c r="C63" s="134" t="s">
        <v>22</v>
      </c>
      <c r="D63" s="134"/>
      <c r="E63" s="134"/>
      <c r="F63" s="235"/>
      <c r="G63" s="156">
        <f t="shared" si="0"/>
      </c>
      <c r="H63" s="161"/>
      <c r="I63" s="158" t="s">
        <v>21</v>
      </c>
      <c r="J63" s="134" t="s">
        <v>21</v>
      </c>
      <c r="K63" s="134">
        <v>1.1</v>
      </c>
      <c r="L63" s="130"/>
      <c r="M63" s="130">
        <f t="shared" si="1"/>
      </c>
      <c r="N63" s="161"/>
      <c r="O63" s="129" t="str">
        <f>IF(RB2_RPA!C57="No Criteria","No Criteria","")</f>
        <v>No Criteria</v>
      </c>
      <c r="P63" s="359"/>
    </row>
    <row r="64" spans="1:16" ht="11.25">
      <c r="A64" s="131">
        <v>53</v>
      </c>
      <c r="B64" s="132" t="s">
        <v>66</v>
      </c>
      <c r="C64" s="134" t="s">
        <v>21</v>
      </c>
      <c r="D64" s="134" t="s">
        <v>21</v>
      </c>
      <c r="E64" s="134">
        <v>0.5</v>
      </c>
      <c r="F64" s="235"/>
      <c r="G64" s="156">
        <f t="shared" si="0"/>
      </c>
      <c r="H64" s="161"/>
      <c r="I64" s="158" t="s">
        <v>21</v>
      </c>
      <c r="J64" s="133" t="s">
        <v>21</v>
      </c>
      <c r="K64" s="133">
        <v>1</v>
      </c>
      <c r="L64" s="130"/>
      <c r="M64" s="130">
        <f t="shared" si="1"/>
      </c>
      <c r="N64" s="161"/>
      <c r="O64" s="129">
        <f>IF(RB2_RPA!C58="No Criteria","No Criteria","")</f>
      </c>
      <c r="P64" s="359"/>
    </row>
    <row r="65" spans="1:16" ht="11.25">
      <c r="A65" s="131">
        <v>54</v>
      </c>
      <c r="B65" s="132" t="s">
        <v>67</v>
      </c>
      <c r="C65" s="134" t="s">
        <v>22</v>
      </c>
      <c r="D65" s="134"/>
      <c r="E65" s="134"/>
      <c r="F65" s="236"/>
      <c r="G65" s="156">
        <f t="shared" si="0"/>
      </c>
      <c r="H65" s="161"/>
      <c r="I65" s="158" t="s">
        <v>21</v>
      </c>
      <c r="J65" s="133" t="s">
        <v>21</v>
      </c>
      <c r="K65" s="133">
        <v>1.3</v>
      </c>
      <c r="L65" s="130"/>
      <c r="M65" s="130">
        <f t="shared" si="1"/>
      </c>
      <c r="N65" s="161"/>
      <c r="O65" s="129">
        <f>IF(RB2_RPA!C59="No Criteria","No Criteria","")</f>
      </c>
      <c r="P65" s="359"/>
    </row>
    <row r="66" spans="1:16" ht="11.25">
      <c r="A66" s="131">
        <v>55</v>
      </c>
      <c r="B66" s="132" t="s">
        <v>68</v>
      </c>
      <c r="C66" s="134" t="s">
        <v>22</v>
      </c>
      <c r="D66" s="134"/>
      <c r="E66" s="134"/>
      <c r="F66" s="234"/>
      <c r="G66" s="156">
        <f t="shared" si="0"/>
      </c>
      <c r="H66" s="161"/>
      <c r="I66" s="158" t="s">
        <v>21</v>
      </c>
      <c r="J66" s="133" t="s">
        <v>21</v>
      </c>
      <c r="K66" s="133">
        <v>1.3</v>
      </c>
      <c r="L66" s="130"/>
      <c r="M66" s="130">
        <f t="shared" si="1"/>
      </c>
      <c r="N66" s="161"/>
      <c r="O66" s="129">
        <f>IF(RB2_RPA!C60="No Criteria","No Criteria","")</f>
      </c>
      <c r="P66" s="359"/>
    </row>
    <row r="67" spans="1:16" ht="11.25">
      <c r="A67" s="131">
        <v>56</v>
      </c>
      <c r="B67" s="132" t="s">
        <v>69</v>
      </c>
      <c r="C67" s="134" t="s">
        <v>21</v>
      </c>
      <c r="D67" s="134" t="s">
        <v>21</v>
      </c>
      <c r="E67" s="134">
        <v>0.03</v>
      </c>
      <c r="F67" s="243"/>
      <c r="G67" s="156">
        <f t="shared" si="0"/>
      </c>
      <c r="H67" s="161"/>
      <c r="I67" s="158" t="s">
        <v>21</v>
      </c>
      <c r="J67" s="133" t="s">
        <v>22</v>
      </c>
      <c r="K67" s="133"/>
      <c r="L67" s="130">
        <v>0.0015</v>
      </c>
      <c r="M67" s="130">
        <f t="shared" si="1"/>
      </c>
      <c r="N67" s="161"/>
      <c r="O67" s="129">
        <f>IF(RB2_RPA!C61="No Criteria","No Criteria","")</f>
      </c>
      <c r="P67" s="359"/>
    </row>
    <row r="68" spans="1:16" ht="11.25">
      <c r="A68" s="131">
        <v>57</v>
      </c>
      <c r="B68" s="132" t="s">
        <v>70</v>
      </c>
      <c r="C68" s="134" t="s">
        <v>21</v>
      </c>
      <c r="D68" s="134" t="s">
        <v>21</v>
      </c>
      <c r="E68" s="134">
        <v>0.07</v>
      </c>
      <c r="F68" s="235"/>
      <c r="G68" s="156">
        <f t="shared" si="0"/>
      </c>
      <c r="H68" s="161"/>
      <c r="I68" s="158" t="s">
        <v>21</v>
      </c>
      <c r="J68" s="133" t="s">
        <v>22</v>
      </c>
      <c r="K68" s="133"/>
      <c r="L68" s="130">
        <v>0.00053</v>
      </c>
      <c r="M68" s="130">
        <f t="shared" si="1"/>
      </c>
      <c r="N68" s="161"/>
      <c r="O68" s="129" t="str">
        <f>IF(RB2_RPA!C62="No Criteria","No Criteria","")</f>
        <v>No Criteria</v>
      </c>
      <c r="P68" s="359"/>
    </row>
    <row r="69" spans="1:16" ht="11.25">
      <c r="A69" s="131">
        <v>58</v>
      </c>
      <c r="B69" s="132" t="s">
        <v>71</v>
      </c>
      <c r="C69" s="134" t="s">
        <v>21</v>
      </c>
      <c r="D69" s="134" t="s">
        <v>22</v>
      </c>
      <c r="E69" s="134"/>
      <c r="F69" s="238">
        <v>0.005</v>
      </c>
      <c r="G69" s="156">
        <f t="shared" si="0"/>
      </c>
      <c r="H69" s="161"/>
      <c r="I69" s="158" t="s">
        <v>21</v>
      </c>
      <c r="J69" s="133" t="s">
        <v>22</v>
      </c>
      <c r="K69" s="133"/>
      <c r="L69" s="130">
        <v>0.0005</v>
      </c>
      <c r="M69" s="130">
        <f t="shared" si="1"/>
      </c>
      <c r="N69" s="161"/>
      <c r="O69" s="129">
        <f>IF(RB2_RPA!C63="No Criteria","No Criteria","")</f>
      </c>
      <c r="P69" s="359"/>
    </row>
    <row r="70" spans="1:16" ht="11.25">
      <c r="A70" s="131">
        <v>59</v>
      </c>
      <c r="B70" s="132" t="s">
        <v>72</v>
      </c>
      <c r="C70" s="134" t="s">
        <v>21</v>
      </c>
      <c r="D70" s="134" t="s">
        <v>21</v>
      </c>
      <c r="E70" s="134">
        <v>100</v>
      </c>
      <c r="F70" s="235"/>
      <c r="G70" s="156">
        <f t="shared" si="0"/>
      </c>
      <c r="H70" s="161"/>
      <c r="I70" s="158" t="s">
        <v>21</v>
      </c>
      <c r="J70" s="134" t="s">
        <v>21</v>
      </c>
      <c r="K70" s="134">
        <v>0.0015</v>
      </c>
      <c r="L70" s="130"/>
      <c r="M70" s="130">
        <f t="shared" si="1"/>
      </c>
      <c r="N70" s="161"/>
      <c r="O70" s="129">
        <f>IF(RB2_RPA!C64="No Criteria","No Criteria","")</f>
      </c>
      <c r="P70" s="359"/>
    </row>
    <row r="71" spans="1:16" ht="11.25">
      <c r="A71" s="131">
        <v>60</v>
      </c>
      <c r="B71" s="132" t="s">
        <v>73</v>
      </c>
      <c r="C71" s="134" t="s">
        <v>21</v>
      </c>
      <c r="D71" s="134" t="s">
        <v>21</v>
      </c>
      <c r="E71" s="134">
        <v>0.007</v>
      </c>
      <c r="F71" s="237"/>
      <c r="G71" s="156">
        <f t="shared" si="0"/>
      </c>
      <c r="H71" s="161"/>
      <c r="I71" s="158" t="s">
        <v>21</v>
      </c>
      <c r="J71" s="133" t="s">
        <v>22</v>
      </c>
      <c r="K71" s="133"/>
      <c r="L71" s="130">
        <v>0.0053</v>
      </c>
      <c r="M71" s="130">
        <f t="shared" si="1"/>
      </c>
      <c r="N71" s="161"/>
      <c r="O71" s="129">
        <f>IF(RB2_RPA!C65="No Criteria","No Criteria","")</f>
      </c>
      <c r="P71" s="78"/>
    </row>
    <row r="72" spans="1:16" ht="11.25">
      <c r="A72" s="131">
        <v>61</v>
      </c>
      <c r="B72" s="132" t="s">
        <v>74</v>
      </c>
      <c r="C72" s="134" t="s">
        <v>21</v>
      </c>
      <c r="D72" s="134" t="s">
        <v>21</v>
      </c>
      <c r="E72" s="134">
        <v>0.01</v>
      </c>
      <c r="F72" s="237"/>
      <c r="G72" s="156">
        <f t="shared" si="0"/>
      </c>
      <c r="H72" s="161"/>
      <c r="I72" s="158" t="s">
        <v>21</v>
      </c>
      <c r="J72" s="133" t="s">
        <v>22</v>
      </c>
      <c r="K72" s="133"/>
      <c r="L72" s="130">
        <v>0.00029</v>
      </c>
      <c r="M72" s="130">
        <f t="shared" si="1"/>
      </c>
      <c r="N72" s="161"/>
      <c r="O72" s="129">
        <f>IF(RB2_RPA!C66="No Criteria","No Criteria","")</f>
      </c>
      <c r="P72" s="78"/>
    </row>
    <row r="73" spans="1:16" ht="11.25">
      <c r="A73" s="131">
        <v>62</v>
      </c>
      <c r="B73" s="132" t="s">
        <v>75</v>
      </c>
      <c r="C73" s="134" t="s">
        <v>21</v>
      </c>
      <c r="D73" s="134" t="s">
        <v>21</v>
      </c>
      <c r="E73" s="134">
        <v>0.003</v>
      </c>
      <c r="F73" s="237"/>
      <c r="G73" s="156">
        <f t="shared" si="0"/>
      </c>
      <c r="H73" s="161"/>
      <c r="I73" s="158" t="s">
        <v>21</v>
      </c>
      <c r="J73" s="133" t="s">
        <v>22</v>
      </c>
      <c r="K73" s="134"/>
      <c r="L73" s="130">
        <v>0.0046</v>
      </c>
      <c r="M73" s="130">
        <f t="shared" si="1"/>
      </c>
      <c r="N73" s="161"/>
      <c r="O73" s="129">
        <f>IF(RB2_RPA!C67="No Criteria","No Criteria","")</f>
      </c>
      <c r="P73" s="78"/>
    </row>
    <row r="74" spans="1:16" ht="11.25">
      <c r="A74" s="131">
        <v>63</v>
      </c>
      <c r="B74" s="132" t="s">
        <v>76</v>
      </c>
      <c r="C74" s="134" t="s">
        <v>21</v>
      </c>
      <c r="D74" s="134" t="s">
        <v>21</v>
      </c>
      <c r="E74" s="134">
        <v>0.01</v>
      </c>
      <c r="F74" s="237"/>
      <c r="G74" s="156">
        <f t="shared" si="0"/>
      </c>
      <c r="H74" s="161"/>
      <c r="I74" s="158" t="s">
        <v>21</v>
      </c>
      <c r="J74" s="133" t="s">
        <v>22</v>
      </c>
      <c r="K74" s="133"/>
      <c r="L74" s="130">
        <v>0.0027</v>
      </c>
      <c r="M74" s="130">
        <f t="shared" si="1"/>
      </c>
      <c r="N74" s="161"/>
      <c r="O74" s="129" t="str">
        <f>IF(RB2_RPA!C68="No Criteria","No Criteria","")</f>
        <v>No Criteria</v>
      </c>
      <c r="P74" s="78"/>
    </row>
    <row r="75" spans="1:16" ht="11.25">
      <c r="A75" s="131">
        <v>64</v>
      </c>
      <c r="B75" s="132" t="s">
        <v>77</v>
      </c>
      <c r="C75" s="134" t="s">
        <v>21</v>
      </c>
      <c r="D75" s="134" t="s">
        <v>21</v>
      </c>
      <c r="E75" s="134">
        <v>0.001</v>
      </c>
      <c r="F75" s="237"/>
      <c r="G75" s="156">
        <f t="shared" si="0"/>
      </c>
      <c r="H75" s="161"/>
      <c r="I75" s="158" t="s">
        <v>21</v>
      </c>
      <c r="J75" s="133" t="s">
        <v>22</v>
      </c>
      <c r="K75" s="133"/>
      <c r="L75" s="134">
        <v>0.0015</v>
      </c>
      <c r="M75" s="130">
        <f t="shared" si="1"/>
      </c>
      <c r="N75" s="161"/>
      <c r="O75" s="129">
        <f>IF(RB2_RPA!C69="No Criteria","No Criteria","")</f>
      </c>
      <c r="P75" s="78"/>
    </row>
    <row r="76" spans="1:16" ht="11.25">
      <c r="A76" s="131">
        <v>65</v>
      </c>
      <c r="B76" s="132" t="s">
        <v>78</v>
      </c>
      <c r="C76" s="134" t="s">
        <v>21</v>
      </c>
      <c r="D76" s="134" t="s">
        <v>21</v>
      </c>
      <c r="E76" s="134">
        <v>20</v>
      </c>
      <c r="F76" s="235"/>
      <c r="G76" s="156">
        <f aca="true" t="shared" si="2" ref="G76:G133">IF(C76="","Check input",IF(C76="Y",IF(D76="","Check input",IF(D76="Y",IF(E76="","Check input",IF(F76="","","Check input")),IF(E76="",IF(F76="","Check input",""),"Check input"))),IF(D76="",IF(E76="",IF(F76="","","Check input"),"Check input"),"Check input")))</f>
      </c>
      <c r="H76" s="161"/>
      <c r="I76" s="158" t="s">
        <v>21</v>
      </c>
      <c r="J76" s="133" t="s">
        <v>21</v>
      </c>
      <c r="K76" s="133">
        <v>0.3</v>
      </c>
      <c r="L76" s="240"/>
      <c r="M76" s="130">
        <f aca="true" t="shared" si="3" ref="M76:M133">IF(I76="","Check input",IF(I76="Y",IF(J76="","Check input",IF(J76="Y",IF(K76="","Check input",IF(L76="","","Check input")),IF(K76="",IF(L76="","Check input",""),"Check input"))),IF(J76="",IF(K76="",IF(L76="","","Check input"),"Check input"),"Check input")))</f>
      </c>
      <c r="N76" s="161"/>
      <c r="O76" s="129" t="str">
        <f>IF(RB2_RPA!C70="No Criteria","No Criteria","")</f>
        <v>No Criteria</v>
      </c>
      <c r="P76" s="78"/>
    </row>
    <row r="77" spans="1:16" ht="11.25">
      <c r="A77" s="131">
        <v>66</v>
      </c>
      <c r="B77" s="132" t="s">
        <v>79</v>
      </c>
      <c r="C77" s="134" t="s">
        <v>21</v>
      </c>
      <c r="D77" s="134" t="s">
        <v>21</v>
      </c>
      <c r="E77" s="134">
        <v>20</v>
      </c>
      <c r="F77" s="235"/>
      <c r="G77" s="156">
        <f t="shared" si="2"/>
      </c>
      <c r="H77" s="161"/>
      <c r="I77" s="158" t="s">
        <v>21</v>
      </c>
      <c r="J77" s="133" t="s">
        <v>21</v>
      </c>
      <c r="K77" s="133">
        <v>0.3</v>
      </c>
      <c r="L77" s="240"/>
      <c r="M77" s="130">
        <f t="shared" si="3"/>
      </c>
      <c r="N77" s="161"/>
      <c r="O77" s="129">
        <f>IF(RB2_RPA!C71="No Criteria","No Criteria","")</f>
      </c>
      <c r="P77" s="359"/>
    </row>
    <row r="78" spans="1:16" ht="11.25">
      <c r="A78" s="131">
        <v>67</v>
      </c>
      <c r="B78" s="132" t="s">
        <v>80</v>
      </c>
      <c r="C78" s="134" t="s">
        <v>21</v>
      </c>
      <c r="D78" s="134" t="s">
        <v>21</v>
      </c>
      <c r="E78" s="134">
        <v>20</v>
      </c>
      <c r="F78" s="234"/>
      <c r="G78" s="156">
        <f t="shared" si="2"/>
      </c>
      <c r="H78" s="161"/>
      <c r="I78" s="158" t="s">
        <v>22</v>
      </c>
      <c r="J78" s="133"/>
      <c r="K78" s="133"/>
      <c r="L78" s="240"/>
      <c r="M78" s="130">
        <f t="shared" si="3"/>
      </c>
      <c r="N78" s="161"/>
      <c r="O78" s="129">
        <f>IF(RB2_RPA!C72="No Criteria","No Criteria","")</f>
      </c>
      <c r="P78" s="359"/>
    </row>
    <row r="79" spans="1:16" ht="11.25">
      <c r="A79" s="131">
        <v>68</v>
      </c>
      <c r="B79" s="132" t="s">
        <v>81</v>
      </c>
      <c r="C79" s="134" t="s">
        <v>22</v>
      </c>
      <c r="D79" s="134"/>
      <c r="E79" s="134"/>
      <c r="F79" s="234"/>
      <c r="G79" s="156">
        <f t="shared" si="2"/>
      </c>
      <c r="H79" s="161"/>
      <c r="I79" s="158" t="s">
        <v>21</v>
      </c>
      <c r="J79" s="133" t="s">
        <v>21</v>
      </c>
      <c r="K79" s="133">
        <v>0.5</v>
      </c>
      <c r="L79" s="241"/>
      <c r="M79" s="130">
        <f t="shared" si="3"/>
      </c>
      <c r="N79" s="161"/>
      <c r="O79" s="129">
        <f>IF(RB2_RPA!C73="No Criteria","No Criteria","")</f>
      </c>
      <c r="P79" s="359"/>
    </row>
    <row r="80" spans="1:16" ht="11.25">
      <c r="A80" s="131">
        <v>69</v>
      </c>
      <c r="B80" s="132" t="s">
        <v>82</v>
      </c>
      <c r="C80" s="134" t="s">
        <v>21</v>
      </c>
      <c r="D80" s="134" t="s">
        <v>21</v>
      </c>
      <c r="E80" s="134">
        <v>10</v>
      </c>
      <c r="F80" s="235"/>
      <c r="G80" s="156">
        <f t="shared" si="2"/>
      </c>
      <c r="H80" s="161"/>
      <c r="I80" s="158" t="s">
        <v>21</v>
      </c>
      <c r="J80" s="133" t="s">
        <v>21</v>
      </c>
      <c r="K80" s="133">
        <v>0.23</v>
      </c>
      <c r="L80" s="240"/>
      <c r="M80" s="130">
        <f t="shared" si="3"/>
      </c>
      <c r="N80" s="161"/>
      <c r="O80" s="129" t="str">
        <f>IF(RB2_RPA!C74="No Criteria","No Criteria","")</f>
        <v>No Criteria</v>
      </c>
      <c r="P80" s="359"/>
    </row>
    <row r="81" spans="1:16" ht="11.25">
      <c r="A81" s="131">
        <v>70</v>
      </c>
      <c r="B81" s="132" t="s">
        <v>83</v>
      </c>
      <c r="C81" s="134" t="s">
        <v>21</v>
      </c>
      <c r="D81" s="134" t="s">
        <v>21</v>
      </c>
      <c r="E81" s="134">
        <v>10</v>
      </c>
      <c r="F81" s="234"/>
      <c r="G81" s="156">
        <f t="shared" si="2"/>
      </c>
      <c r="H81" s="161"/>
      <c r="I81" s="158" t="s">
        <v>21</v>
      </c>
      <c r="J81" s="133" t="s">
        <v>21</v>
      </c>
      <c r="K81" s="133">
        <v>0.52</v>
      </c>
      <c r="L81" s="240"/>
      <c r="M81" s="130">
        <f t="shared" si="3"/>
      </c>
      <c r="N81" s="161"/>
      <c r="O81" s="129">
        <f>IF(RB2_RPA!C75="No Criteria","No Criteria","")</f>
      </c>
      <c r="P81" s="359"/>
    </row>
    <row r="82" spans="1:16" ht="11.25">
      <c r="A82" s="131">
        <v>71</v>
      </c>
      <c r="B82" s="132" t="s">
        <v>84</v>
      </c>
      <c r="C82" s="134" t="s">
        <v>21</v>
      </c>
      <c r="D82" s="134" t="s">
        <v>21</v>
      </c>
      <c r="E82" s="134">
        <v>10</v>
      </c>
      <c r="F82" s="234"/>
      <c r="G82" s="156">
        <f t="shared" si="2"/>
      </c>
      <c r="H82" s="161"/>
      <c r="I82" s="158" t="s">
        <v>21</v>
      </c>
      <c r="J82" s="133" t="s">
        <v>21</v>
      </c>
      <c r="K82" s="133">
        <v>0.3</v>
      </c>
      <c r="L82" s="240"/>
      <c r="M82" s="130">
        <f t="shared" si="3"/>
      </c>
      <c r="N82" s="161"/>
      <c r="O82" s="129">
        <f>IF(RB2_RPA!C76="No Criteria","No Criteria","")</f>
      </c>
      <c r="P82" s="359"/>
    </row>
    <row r="83" spans="1:16" ht="11.25">
      <c r="A83" s="131">
        <v>72</v>
      </c>
      <c r="B83" s="132" t="s">
        <v>85</v>
      </c>
      <c r="C83" s="134" t="s">
        <v>21</v>
      </c>
      <c r="D83" s="134" t="s">
        <v>21</v>
      </c>
      <c r="E83" s="134">
        <v>10</v>
      </c>
      <c r="F83" s="235"/>
      <c r="G83" s="156">
        <f t="shared" si="2"/>
      </c>
      <c r="H83" s="161"/>
      <c r="I83" s="158" t="s">
        <v>21</v>
      </c>
      <c r="J83" s="133" t="s">
        <v>21</v>
      </c>
      <c r="K83" s="133">
        <v>0.3</v>
      </c>
      <c r="L83" s="240"/>
      <c r="M83" s="130">
        <f t="shared" si="3"/>
      </c>
      <c r="N83" s="161"/>
      <c r="O83" s="129" t="str">
        <f>IF(RB2_RPA!C77="No Criteria","No Criteria","")</f>
        <v>No Criteria</v>
      </c>
      <c r="P83" s="359"/>
    </row>
    <row r="84" spans="1:16" ht="11.25">
      <c r="A84" s="131">
        <v>73</v>
      </c>
      <c r="B84" s="132" t="s">
        <v>86</v>
      </c>
      <c r="C84" s="134" t="s">
        <v>21</v>
      </c>
      <c r="D84" s="134" t="s">
        <v>21</v>
      </c>
      <c r="E84" s="134">
        <v>0.002</v>
      </c>
      <c r="F84" s="237"/>
      <c r="G84" s="156">
        <f t="shared" si="2"/>
      </c>
      <c r="H84" s="161"/>
      <c r="I84" s="158" t="s">
        <v>21</v>
      </c>
      <c r="J84" s="133" t="s">
        <v>22</v>
      </c>
      <c r="K84" s="133"/>
      <c r="L84" s="134">
        <v>0.0024</v>
      </c>
      <c r="M84" s="130">
        <f t="shared" si="3"/>
      </c>
      <c r="N84" s="161"/>
      <c r="O84" s="129">
        <f>IF(RB2_RPA!C78="No Criteria","No Criteria","")</f>
      </c>
      <c r="P84" s="359"/>
    </row>
    <row r="85" spans="1:16" ht="11.25">
      <c r="A85" s="131">
        <v>74</v>
      </c>
      <c r="B85" s="132" t="s">
        <v>87</v>
      </c>
      <c r="C85" s="134" t="s">
        <v>21</v>
      </c>
      <c r="D85" s="134" t="s">
        <v>21</v>
      </c>
      <c r="E85" s="134">
        <v>0.007</v>
      </c>
      <c r="F85" s="237"/>
      <c r="G85" s="156">
        <f t="shared" si="2"/>
      </c>
      <c r="H85" s="161"/>
      <c r="I85" s="158" t="s">
        <v>21</v>
      </c>
      <c r="J85" s="133" t="s">
        <v>22</v>
      </c>
      <c r="K85" s="133"/>
      <c r="L85" s="134">
        <v>0.00064</v>
      </c>
      <c r="M85" s="130">
        <f t="shared" si="3"/>
      </c>
      <c r="N85" s="161"/>
      <c r="O85" s="129">
        <f>IF(RB2_RPA!C79="No Criteria","No Criteria","")</f>
      </c>
      <c r="P85" s="359"/>
    </row>
    <row r="86" spans="1:16" ht="11.25">
      <c r="A86" s="131">
        <v>75</v>
      </c>
      <c r="B86" s="132" t="s">
        <v>88</v>
      </c>
      <c r="C86" s="134" t="s">
        <v>21</v>
      </c>
      <c r="D86" s="134" t="s">
        <v>21</v>
      </c>
      <c r="E86" s="134">
        <v>1</v>
      </c>
      <c r="F86" s="234"/>
      <c r="G86" s="156">
        <f t="shared" si="2"/>
      </c>
      <c r="H86" s="161"/>
      <c r="I86" s="158" t="s">
        <v>21</v>
      </c>
      <c r="J86" s="133" t="s">
        <v>21</v>
      </c>
      <c r="K86" s="133">
        <v>0.8</v>
      </c>
      <c r="L86" s="240"/>
      <c r="M86" s="130">
        <f t="shared" si="3"/>
      </c>
      <c r="N86" s="161"/>
      <c r="O86" s="129">
        <f>IF(RB2_RPA!C80="No Criteria","No Criteria","")</f>
      </c>
      <c r="P86" s="359"/>
    </row>
    <row r="87" spans="1:16" ht="11.25">
      <c r="A87" s="131">
        <v>76</v>
      </c>
      <c r="B87" s="132" t="s">
        <v>89</v>
      </c>
      <c r="C87" s="134" t="s">
        <v>21</v>
      </c>
      <c r="D87" s="134" t="s">
        <v>21</v>
      </c>
      <c r="E87" s="134">
        <v>1</v>
      </c>
      <c r="F87" s="234"/>
      <c r="G87" s="156">
        <f t="shared" si="2"/>
      </c>
      <c r="H87" s="161"/>
      <c r="I87" s="158" t="s">
        <v>21</v>
      </c>
      <c r="J87" s="133" t="s">
        <v>21</v>
      </c>
      <c r="K87" s="133">
        <v>0.8</v>
      </c>
      <c r="L87" s="240"/>
      <c r="M87" s="130">
        <f t="shared" si="3"/>
      </c>
      <c r="N87" s="161"/>
      <c r="O87" s="129">
        <f>IF(RB2_RPA!C81="No Criteria","No Criteria","")</f>
      </c>
      <c r="P87" s="359"/>
    </row>
    <row r="88" spans="1:16" ht="11.25">
      <c r="A88" s="131">
        <v>77</v>
      </c>
      <c r="B88" s="132" t="s">
        <v>90</v>
      </c>
      <c r="C88" s="134" t="s">
        <v>21</v>
      </c>
      <c r="D88" s="134" t="s">
        <v>21</v>
      </c>
      <c r="E88" s="134">
        <v>1</v>
      </c>
      <c r="F88" s="235"/>
      <c r="G88" s="156">
        <f t="shared" si="2"/>
      </c>
      <c r="H88" s="161"/>
      <c r="I88" s="158" t="s">
        <v>21</v>
      </c>
      <c r="J88" s="133" t="s">
        <v>21</v>
      </c>
      <c r="K88" s="133">
        <v>0.8</v>
      </c>
      <c r="L88" s="240"/>
      <c r="M88" s="130">
        <f t="shared" si="3"/>
      </c>
      <c r="N88" s="161"/>
      <c r="O88" s="129">
        <f>IF(RB2_RPA!C82="No Criteria","No Criteria","")</f>
      </c>
      <c r="P88" s="359"/>
    </row>
    <row r="89" spans="1:16" ht="11.25">
      <c r="A89" s="131">
        <v>78</v>
      </c>
      <c r="B89" s="132" t="s">
        <v>91</v>
      </c>
      <c r="C89" s="134" t="s">
        <v>21</v>
      </c>
      <c r="D89" s="134" t="s">
        <v>21</v>
      </c>
      <c r="E89" s="134">
        <v>100</v>
      </c>
      <c r="F89" s="235"/>
      <c r="G89" s="156">
        <f t="shared" si="2"/>
      </c>
      <c r="H89" s="161"/>
      <c r="I89" s="158" t="s">
        <v>21</v>
      </c>
      <c r="J89" s="133" t="s">
        <v>21</v>
      </c>
      <c r="K89" s="133">
        <v>0.001</v>
      </c>
      <c r="L89" s="240"/>
      <c r="M89" s="130">
        <f t="shared" si="3"/>
      </c>
      <c r="N89" s="161"/>
      <c r="O89" s="129">
        <f>IF(RB2_RPA!C83="No Criteria","No Criteria","")</f>
      </c>
      <c r="P89" s="359"/>
    </row>
    <row r="90" spans="1:16" ht="11.25">
      <c r="A90" s="131">
        <v>79</v>
      </c>
      <c r="B90" s="132" t="s">
        <v>92</v>
      </c>
      <c r="C90" s="134" t="s">
        <v>21</v>
      </c>
      <c r="D90" s="134" t="s">
        <v>21</v>
      </c>
      <c r="E90" s="134">
        <v>10</v>
      </c>
      <c r="F90" s="234"/>
      <c r="G90" s="156">
        <f t="shared" si="2"/>
      </c>
      <c r="H90" s="161"/>
      <c r="I90" s="158" t="s">
        <v>21</v>
      </c>
      <c r="J90" s="133" t="s">
        <v>21</v>
      </c>
      <c r="K90" s="133">
        <v>0.24</v>
      </c>
      <c r="L90" s="240"/>
      <c r="M90" s="130">
        <f t="shared" si="3"/>
      </c>
      <c r="N90" s="161"/>
      <c r="O90" s="129">
        <f>IF(RB2_RPA!C84="No Criteria","No Criteria","")</f>
      </c>
      <c r="P90" s="359"/>
    </row>
    <row r="91" spans="1:16" ht="11.25">
      <c r="A91" s="131">
        <v>80</v>
      </c>
      <c r="B91" s="132" t="s">
        <v>93</v>
      </c>
      <c r="C91" s="134" t="s">
        <v>21</v>
      </c>
      <c r="D91" s="134" t="s">
        <v>21</v>
      </c>
      <c r="E91" s="134">
        <v>10</v>
      </c>
      <c r="F91" s="234"/>
      <c r="G91" s="156">
        <f t="shared" si="2"/>
      </c>
      <c r="H91" s="161"/>
      <c r="I91" s="158" t="s">
        <v>21</v>
      </c>
      <c r="J91" s="134" t="s">
        <v>21</v>
      </c>
      <c r="K91" s="134">
        <v>0.24</v>
      </c>
      <c r="L91" s="240"/>
      <c r="M91" s="130">
        <f t="shared" si="3"/>
      </c>
      <c r="N91" s="161"/>
      <c r="O91" s="129">
        <f>IF(RB2_RPA!C85="No Criteria","No Criteria","")</f>
      </c>
      <c r="P91" s="359"/>
    </row>
    <row r="92" spans="1:16" ht="11.25">
      <c r="A92" s="131">
        <v>81</v>
      </c>
      <c r="B92" s="132" t="s">
        <v>94</v>
      </c>
      <c r="C92" s="134" t="s">
        <v>21</v>
      </c>
      <c r="D92" s="134" t="s">
        <v>21</v>
      </c>
      <c r="E92" s="134">
        <v>20</v>
      </c>
      <c r="F92" s="234"/>
      <c r="G92" s="156">
        <f t="shared" si="2"/>
      </c>
      <c r="H92" s="161"/>
      <c r="I92" s="158" t="s">
        <v>21</v>
      </c>
      <c r="J92" s="133" t="s">
        <v>21</v>
      </c>
      <c r="K92" s="133">
        <v>0.5</v>
      </c>
      <c r="L92" s="240"/>
      <c r="M92" s="130">
        <f t="shared" si="3"/>
      </c>
      <c r="N92" s="161"/>
      <c r="O92" s="129">
        <f>IF(RB2_RPA!C86="No Criteria","No Criteria","")</f>
      </c>
      <c r="P92" s="359"/>
    </row>
    <row r="93" spans="1:16" ht="11.25">
      <c r="A93" s="131">
        <v>82</v>
      </c>
      <c r="B93" s="132" t="s">
        <v>95</v>
      </c>
      <c r="C93" s="134" t="s">
        <v>21</v>
      </c>
      <c r="D93" s="134" t="s">
        <v>21</v>
      </c>
      <c r="E93" s="134">
        <v>10</v>
      </c>
      <c r="F93" s="234"/>
      <c r="G93" s="156">
        <f t="shared" si="2"/>
      </c>
      <c r="H93" s="161"/>
      <c r="I93" s="158" t="s">
        <v>21</v>
      </c>
      <c r="J93" s="133" t="s">
        <v>21</v>
      </c>
      <c r="K93" s="133">
        <v>0.27</v>
      </c>
      <c r="L93" s="240"/>
      <c r="M93" s="130">
        <f t="shared" si="3"/>
      </c>
      <c r="N93" s="161"/>
      <c r="O93" s="129">
        <f>IF(RB2_RPA!C87="No Criteria","No Criteria","")</f>
      </c>
      <c r="P93" s="359"/>
    </row>
    <row r="94" spans="1:16" ht="11.25">
      <c r="A94" s="131">
        <v>83</v>
      </c>
      <c r="B94" s="132" t="s">
        <v>96</v>
      </c>
      <c r="C94" s="134" t="s">
        <v>21</v>
      </c>
      <c r="D94" s="134" t="s">
        <v>21</v>
      </c>
      <c r="E94" s="134">
        <v>10</v>
      </c>
      <c r="F94" s="235"/>
      <c r="G94" s="156">
        <f t="shared" si="2"/>
      </c>
      <c r="H94" s="161"/>
      <c r="I94" s="158" t="s">
        <v>21</v>
      </c>
      <c r="J94" s="133" t="s">
        <v>21</v>
      </c>
      <c r="K94" s="133">
        <v>0.29</v>
      </c>
      <c r="L94" s="240"/>
      <c r="M94" s="130">
        <f t="shared" si="3"/>
      </c>
      <c r="N94" s="161"/>
      <c r="O94" s="129" t="str">
        <f>IF(RB2_RPA!C88="No Criteria","No Criteria","")</f>
        <v>No Criteria</v>
      </c>
      <c r="P94" s="359"/>
    </row>
    <row r="95" spans="1:16" ht="11.25">
      <c r="A95" s="131">
        <v>84</v>
      </c>
      <c r="B95" s="132" t="s">
        <v>97</v>
      </c>
      <c r="C95" s="134" t="s">
        <v>21</v>
      </c>
      <c r="D95" s="134" t="s">
        <v>21</v>
      </c>
      <c r="E95" s="134">
        <v>20</v>
      </c>
      <c r="F95" s="235"/>
      <c r="G95" s="156">
        <f t="shared" si="2"/>
      </c>
      <c r="H95" s="161"/>
      <c r="I95" s="158" t="s">
        <v>21</v>
      </c>
      <c r="J95" s="133" t="s">
        <v>21</v>
      </c>
      <c r="K95" s="133">
        <v>0.38</v>
      </c>
      <c r="L95" s="240"/>
      <c r="M95" s="130">
        <f t="shared" si="3"/>
      </c>
      <c r="N95" s="161"/>
      <c r="O95" s="129" t="str">
        <f>IF(RB2_RPA!C89="No Criteria","No Criteria","")</f>
        <v>No Criteria</v>
      </c>
      <c r="P95" s="359"/>
    </row>
    <row r="96" spans="1:16" ht="11.25">
      <c r="A96" s="131">
        <v>85</v>
      </c>
      <c r="B96" s="132" t="s">
        <v>98</v>
      </c>
      <c r="C96" s="134" t="s">
        <v>21</v>
      </c>
      <c r="D96" s="134" t="s">
        <v>21</v>
      </c>
      <c r="E96" s="134">
        <v>20</v>
      </c>
      <c r="F96" s="235"/>
      <c r="G96" s="156">
        <f t="shared" si="2"/>
      </c>
      <c r="H96" s="161"/>
      <c r="I96" s="158" t="s">
        <v>21</v>
      </c>
      <c r="J96" s="133" t="s">
        <v>22</v>
      </c>
      <c r="K96" s="134"/>
      <c r="L96" s="240">
        <v>0.0037</v>
      </c>
      <c r="M96" s="130">
        <f t="shared" si="3"/>
      </c>
      <c r="N96" s="161"/>
      <c r="O96" s="129">
        <f>IF(RB2_RPA!C90="No Criteria","No Criteria","")</f>
      </c>
      <c r="P96" s="359"/>
    </row>
    <row r="97" spans="1:16" ht="11.25">
      <c r="A97" s="131">
        <v>86</v>
      </c>
      <c r="B97" s="132" t="s">
        <v>99</v>
      </c>
      <c r="C97" s="134" t="s">
        <v>21</v>
      </c>
      <c r="D97" s="134" t="s">
        <v>21</v>
      </c>
      <c r="E97" s="134">
        <v>0.04</v>
      </c>
      <c r="F97" s="234"/>
      <c r="G97" s="156">
        <f t="shared" si="2"/>
      </c>
      <c r="H97" s="161"/>
      <c r="I97" s="158" t="s">
        <v>21</v>
      </c>
      <c r="J97" s="133" t="s">
        <v>22</v>
      </c>
      <c r="K97" s="133"/>
      <c r="L97" s="134">
        <v>0.011</v>
      </c>
      <c r="M97" s="130">
        <f t="shared" si="3"/>
      </c>
      <c r="N97" s="161"/>
      <c r="O97" s="129">
        <f>IF(RB2_RPA!C91="No Criteria","No Criteria","")</f>
      </c>
      <c r="P97" s="359"/>
    </row>
    <row r="98" spans="1:16" ht="11.25">
      <c r="A98" s="131">
        <v>87</v>
      </c>
      <c r="B98" s="132" t="s">
        <v>100</v>
      </c>
      <c r="C98" s="134" t="s">
        <v>21</v>
      </c>
      <c r="D98" s="134" t="s">
        <v>21</v>
      </c>
      <c r="E98" s="134">
        <v>0.008</v>
      </c>
      <c r="F98" s="234"/>
      <c r="G98" s="156">
        <f t="shared" si="2"/>
      </c>
      <c r="H98" s="161"/>
      <c r="I98" s="158" t="s">
        <v>21</v>
      </c>
      <c r="J98" s="133" t="s">
        <v>22</v>
      </c>
      <c r="K98" s="133"/>
      <c r="L98" s="134">
        <v>0.00208</v>
      </c>
      <c r="M98" s="130">
        <f t="shared" si="3"/>
      </c>
      <c r="N98" s="161"/>
      <c r="O98" s="129">
        <f>IF(RB2_RPA!C92="No Criteria","No Criteria","")</f>
      </c>
      <c r="P98" s="359"/>
    </row>
    <row r="99" spans="1:16" ht="11.25">
      <c r="A99" s="131">
        <v>88</v>
      </c>
      <c r="B99" s="132" t="s">
        <v>101</v>
      </c>
      <c r="C99" s="134" t="s">
        <v>21</v>
      </c>
      <c r="D99" s="134" t="s">
        <v>21</v>
      </c>
      <c r="E99" s="134">
        <v>10</v>
      </c>
      <c r="F99" s="234"/>
      <c r="G99" s="156">
        <f t="shared" si="2"/>
      </c>
      <c r="H99" s="161"/>
      <c r="I99" s="158" t="s">
        <v>21</v>
      </c>
      <c r="J99" s="133" t="s">
        <v>22</v>
      </c>
      <c r="K99" s="133"/>
      <c r="L99" s="134">
        <v>2.02E-05</v>
      </c>
      <c r="M99" s="130">
        <f t="shared" si="3"/>
      </c>
      <c r="N99" s="161"/>
      <c r="O99" s="129">
        <f>IF(RB2_RPA!C93="No Criteria","No Criteria","")</f>
      </c>
      <c r="P99" s="360"/>
    </row>
    <row r="100" spans="1:16" ht="11.25">
      <c r="A100" s="131">
        <v>89</v>
      </c>
      <c r="B100" s="132" t="s">
        <v>102</v>
      </c>
      <c r="C100" s="134" t="s">
        <v>21</v>
      </c>
      <c r="D100" s="134" t="s">
        <v>21</v>
      </c>
      <c r="E100" s="134">
        <v>20</v>
      </c>
      <c r="F100" s="234"/>
      <c r="G100" s="156">
        <f t="shared" si="2"/>
      </c>
      <c r="H100" s="161"/>
      <c r="I100" s="158" t="s">
        <v>21</v>
      </c>
      <c r="J100" s="133" t="s">
        <v>21</v>
      </c>
      <c r="K100" s="133">
        <v>0.3</v>
      </c>
      <c r="L100" s="240"/>
      <c r="M100" s="130">
        <f t="shared" si="3"/>
      </c>
      <c r="N100" s="161"/>
      <c r="O100" s="129">
        <f>IF(RB2_RPA!C94="No Criteria","No Criteria","")</f>
      </c>
      <c r="P100" s="359"/>
    </row>
    <row r="101" spans="1:16" ht="11.25">
      <c r="A101" s="131">
        <v>90</v>
      </c>
      <c r="B101" s="132" t="s">
        <v>103</v>
      </c>
      <c r="C101" s="134" t="s">
        <v>21</v>
      </c>
      <c r="D101" s="134" t="s">
        <v>21</v>
      </c>
      <c r="E101" s="134">
        <v>20</v>
      </c>
      <c r="F101" s="234"/>
      <c r="G101" s="156">
        <f t="shared" si="2"/>
      </c>
      <c r="H101" s="161"/>
      <c r="I101" s="158" t="s">
        <v>21</v>
      </c>
      <c r="J101" s="133" t="s">
        <v>21</v>
      </c>
      <c r="K101" s="133">
        <v>0.31</v>
      </c>
      <c r="L101" s="240"/>
      <c r="M101" s="130">
        <f t="shared" si="3"/>
      </c>
      <c r="N101" s="161"/>
      <c r="O101" s="129">
        <f>IF(RB2_RPA!C95="No Criteria","No Criteria","")</f>
      </c>
      <c r="P101" s="359"/>
    </row>
    <row r="102" spans="1:16" ht="11.25">
      <c r="A102" s="131">
        <v>91</v>
      </c>
      <c r="B102" s="132" t="s">
        <v>104</v>
      </c>
      <c r="C102" s="134" t="s">
        <v>21</v>
      </c>
      <c r="D102" s="134" t="s">
        <v>21</v>
      </c>
      <c r="E102" s="134">
        <v>10</v>
      </c>
      <c r="F102" s="234"/>
      <c r="G102" s="156">
        <f t="shared" si="2"/>
      </c>
      <c r="H102" s="161"/>
      <c r="I102" s="158" t="s">
        <v>21</v>
      </c>
      <c r="J102" s="133" t="s">
        <v>21</v>
      </c>
      <c r="K102" s="133">
        <v>0.2</v>
      </c>
      <c r="L102" s="240"/>
      <c r="M102" s="130">
        <f t="shared" si="3"/>
      </c>
      <c r="N102" s="161"/>
      <c r="O102" s="129">
        <f>IF(RB2_RPA!C96="No Criteria","No Criteria","")</f>
      </c>
      <c r="P102" s="359"/>
    </row>
    <row r="103" spans="1:16" ht="11.25">
      <c r="A103" s="131">
        <v>92</v>
      </c>
      <c r="B103" s="132" t="s">
        <v>105</v>
      </c>
      <c r="C103" s="134" t="s">
        <v>21</v>
      </c>
      <c r="D103" s="134" t="s">
        <v>21</v>
      </c>
      <c r="E103" s="134">
        <v>0.01</v>
      </c>
      <c r="F103" s="234"/>
      <c r="G103" s="156">
        <f t="shared" si="2"/>
      </c>
      <c r="H103" s="161"/>
      <c r="I103" s="158" t="s">
        <v>21</v>
      </c>
      <c r="J103" s="133" t="s">
        <v>22</v>
      </c>
      <c r="K103" s="133"/>
      <c r="L103" s="134">
        <v>0.004</v>
      </c>
      <c r="M103" s="130">
        <f t="shared" si="3"/>
      </c>
      <c r="N103" s="161"/>
      <c r="O103" s="129">
        <f>IF(RB2_RPA!C97="No Criteria","No Criteria","")</f>
      </c>
      <c r="P103" s="359"/>
    </row>
    <row r="104" spans="1:16" ht="11.25">
      <c r="A104" s="131">
        <v>93</v>
      </c>
      <c r="B104" s="132" t="s">
        <v>106</v>
      </c>
      <c r="C104" s="134" t="s">
        <v>21</v>
      </c>
      <c r="D104" s="134" t="s">
        <v>21</v>
      </c>
      <c r="E104" s="134">
        <v>10</v>
      </c>
      <c r="F104" s="234"/>
      <c r="G104" s="156">
        <f t="shared" si="2"/>
      </c>
      <c r="H104" s="161"/>
      <c r="I104" s="158" t="s">
        <v>21</v>
      </c>
      <c r="J104" s="133" t="s">
        <v>21</v>
      </c>
      <c r="K104" s="133">
        <v>0.3</v>
      </c>
      <c r="L104" s="240"/>
      <c r="M104" s="130">
        <f t="shared" si="3"/>
      </c>
      <c r="N104" s="161"/>
      <c r="O104" s="129">
        <f>IF(RB2_RPA!C98="No Criteria","No Criteria","")</f>
      </c>
      <c r="P104" s="359"/>
    </row>
    <row r="105" spans="1:16" ht="11.25">
      <c r="A105" s="131">
        <v>94</v>
      </c>
      <c r="B105" s="132" t="s">
        <v>107</v>
      </c>
      <c r="C105" s="134" t="s">
        <v>21</v>
      </c>
      <c r="D105" s="134" t="s">
        <v>21</v>
      </c>
      <c r="E105" s="134">
        <v>0.06</v>
      </c>
      <c r="F105" s="235"/>
      <c r="G105" s="156">
        <f t="shared" si="2"/>
      </c>
      <c r="H105" s="161"/>
      <c r="I105" s="158" t="s">
        <v>21</v>
      </c>
      <c r="J105" s="133" t="s">
        <v>22</v>
      </c>
      <c r="K105" s="133"/>
      <c r="L105" s="134">
        <v>0.0023</v>
      </c>
      <c r="M105" s="130">
        <f t="shared" si="3"/>
      </c>
      <c r="N105" s="161"/>
      <c r="O105" s="129" t="str">
        <f>IF(RB2_RPA!C99="No Criteria","No Criteria","")</f>
        <v>No Criteria</v>
      </c>
      <c r="P105" s="359"/>
    </row>
    <row r="106" spans="1:16" ht="11.25">
      <c r="A106" s="131">
        <v>95</v>
      </c>
      <c r="B106" s="132" t="s">
        <v>108</v>
      </c>
      <c r="C106" s="134" t="s">
        <v>21</v>
      </c>
      <c r="D106" s="134" t="s">
        <v>21</v>
      </c>
      <c r="E106" s="134">
        <v>10</v>
      </c>
      <c r="F106" s="234"/>
      <c r="G106" s="156">
        <f t="shared" si="2"/>
      </c>
      <c r="H106" s="161"/>
      <c r="I106" s="158" t="s">
        <v>21</v>
      </c>
      <c r="J106" s="133" t="s">
        <v>21</v>
      </c>
      <c r="K106" s="133">
        <v>0.25</v>
      </c>
      <c r="L106" s="240"/>
      <c r="M106" s="130">
        <f t="shared" si="3"/>
      </c>
      <c r="N106" s="161"/>
      <c r="O106" s="129">
        <f>IF(RB2_RPA!C100="No Criteria","No Criteria","")</f>
      </c>
      <c r="P106" s="359"/>
    </row>
    <row r="107" spans="1:16" ht="11.25">
      <c r="A107" s="131">
        <v>96</v>
      </c>
      <c r="B107" s="132" t="s">
        <v>109</v>
      </c>
      <c r="C107" s="134" t="s">
        <v>21</v>
      </c>
      <c r="D107" s="134" t="s">
        <v>21</v>
      </c>
      <c r="E107" s="134">
        <v>10</v>
      </c>
      <c r="F107" s="234"/>
      <c r="G107" s="156">
        <f t="shared" si="2"/>
      </c>
      <c r="H107" s="161"/>
      <c r="I107" s="158" t="s">
        <v>21</v>
      </c>
      <c r="J107" s="134" t="s">
        <v>21</v>
      </c>
      <c r="K107" s="134">
        <v>0.3</v>
      </c>
      <c r="L107" s="240"/>
      <c r="M107" s="130">
        <f t="shared" si="3"/>
      </c>
      <c r="N107" s="161"/>
      <c r="O107" s="129">
        <f>IF(RB2_RPA!C101="No Criteria","No Criteria","")</f>
      </c>
      <c r="P107" s="359"/>
    </row>
    <row r="108" spans="1:16" ht="11.25">
      <c r="A108" s="131">
        <v>97</v>
      </c>
      <c r="B108" s="132" t="s">
        <v>110</v>
      </c>
      <c r="C108" s="134" t="s">
        <v>21</v>
      </c>
      <c r="D108" s="134" t="s">
        <v>21</v>
      </c>
      <c r="E108" s="134">
        <v>10</v>
      </c>
      <c r="F108" s="234"/>
      <c r="G108" s="156">
        <f t="shared" si="2"/>
      </c>
      <c r="H108" s="161"/>
      <c r="I108" s="158" t="s">
        <v>21</v>
      </c>
      <c r="J108" s="133" t="s">
        <v>21</v>
      </c>
      <c r="K108" s="133">
        <v>0.001</v>
      </c>
      <c r="L108" s="240"/>
      <c r="M108" s="130">
        <f t="shared" si="3"/>
      </c>
      <c r="N108" s="161"/>
      <c r="O108" s="129">
        <f>IF(RB2_RPA!C102="No Criteria","No Criteria","")</f>
      </c>
      <c r="P108" s="359"/>
    </row>
    <row r="109" spans="1:16" ht="11.25">
      <c r="A109" s="131">
        <v>98</v>
      </c>
      <c r="B109" s="132" t="s">
        <v>111</v>
      </c>
      <c r="C109" s="134" t="s">
        <v>21</v>
      </c>
      <c r="D109" s="134" t="s">
        <v>21</v>
      </c>
      <c r="E109" s="134">
        <v>10</v>
      </c>
      <c r="F109" s="234"/>
      <c r="G109" s="156">
        <f t="shared" si="2"/>
      </c>
      <c r="H109" s="161"/>
      <c r="I109" s="158" t="s">
        <v>21</v>
      </c>
      <c r="J109" s="133" t="s">
        <v>21</v>
      </c>
      <c r="K109" s="133">
        <v>0.001</v>
      </c>
      <c r="L109" s="240"/>
      <c r="M109" s="130">
        <f t="shared" si="3"/>
      </c>
      <c r="N109" s="161"/>
      <c r="O109" s="129">
        <f>IF(RB2_RPA!C103="No Criteria","No Criteria","")</f>
      </c>
      <c r="P109" s="359"/>
    </row>
    <row r="110" spans="1:16" ht="11.25">
      <c r="A110" s="131">
        <v>99</v>
      </c>
      <c r="B110" s="132" t="s">
        <v>112</v>
      </c>
      <c r="C110" s="134" t="s">
        <v>21</v>
      </c>
      <c r="D110" s="134" t="s">
        <v>22</v>
      </c>
      <c r="E110" s="134"/>
      <c r="F110" s="238">
        <v>0.149</v>
      </c>
      <c r="G110" s="156">
        <f t="shared" si="2"/>
      </c>
      <c r="H110" s="161"/>
      <c r="I110" s="158" t="s">
        <v>21</v>
      </c>
      <c r="J110" s="133" t="s">
        <v>22</v>
      </c>
      <c r="K110" s="133"/>
      <c r="L110" s="134">
        <v>0.0061</v>
      </c>
      <c r="M110" s="130">
        <f t="shared" si="3"/>
      </c>
      <c r="N110" s="161"/>
      <c r="O110" s="129" t="str">
        <f>IF(RB2_RPA!C104="No Criteria","No Criteria","")</f>
        <v>No Criteria</v>
      </c>
      <c r="P110" s="359"/>
    </row>
    <row r="111" spans="1:16" ht="11.25">
      <c r="A111" s="131">
        <v>100</v>
      </c>
      <c r="B111" s="132" t="s">
        <v>113</v>
      </c>
      <c r="C111" s="134" t="s">
        <v>21</v>
      </c>
      <c r="D111" s="134" t="s">
        <v>21</v>
      </c>
      <c r="E111" s="134">
        <v>0.009</v>
      </c>
      <c r="F111" s="235"/>
      <c r="G111" s="156">
        <f t="shared" si="2"/>
      </c>
      <c r="H111" s="161"/>
      <c r="I111" s="158" t="s">
        <v>21</v>
      </c>
      <c r="J111" s="133" t="s">
        <v>22</v>
      </c>
      <c r="K111" s="133"/>
      <c r="L111" s="134">
        <v>0.0051</v>
      </c>
      <c r="M111" s="130">
        <f t="shared" si="3"/>
      </c>
      <c r="N111" s="161"/>
      <c r="O111" s="129">
        <f>IF(RB2_RPA!C105="No Criteria","No Criteria","")</f>
      </c>
      <c r="P111" s="359"/>
    </row>
    <row r="112" spans="1:16" ht="11.25">
      <c r="A112" s="131">
        <v>101</v>
      </c>
      <c r="B112" s="132" t="s">
        <v>114</v>
      </c>
      <c r="C112" s="134" t="s">
        <v>21</v>
      </c>
      <c r="D112" s="134" t="s">
        <v>21</v>
      </c>
      <c r="E112" s="134">
        <v>10</v>
      </c>
      <c r="F112" s="234"/>
      <c r="G112" s="156">
        <f t="shared" si="2"/>
      </c>
      <c r="H112" s="161"/>
      <c r="I112" s="158" t="s">
        <v>21</v>
      </c>
      <c r="J112" s="134" t="s">
        <v>21</v>
      </c>
      <c r="K112" s="134">
        <v>0.3</v>
      </c>
      <c r="L112" s="240"/>
      <c r="M112" s="130">
        <f t="shared" si="3"/>
      </c>
      <c r="N112" s="161"/>
      <c r="O112" s="129" t="str">
        <f>IF(RB2_RPA!C106="No Criteria","No Criteria","")</f>
        <v>No Criteria</v>
      </c>
      <c r="P112" s="359"/>
    </row>
    <row r="113" spans="1:16" ht="11.25">
      <c r="A113" s="131">
        <v>102</v>
      </c>
      <c r="B113" s="132" t="s">
        <v>115</v>
      </c>
      <c r="C113" s="134" t="s">
        <v>21</v>
      </c>
      <c r="D113" s="134" t="s">
        <v>21</v>
      </c>
      <c r="E113" s="134">
        <v>0.00202</v>
      </c>
      <c r="F113" s="238"/>
      <c r="G113" s="156">
        <f t="shared" si="2"/>
      </c>
      <c r="H113" s="161"/>
      <c r="I113" s="158" t="s">
        <v>22</v>
      </c>
      <c r="J113" s="133"/>
      <c r="K113" s="133"/>
      <c r="L113" s="240"/>
      <c r="M113" s="130">
        <f t="shared" si="3"/>
      </c>
      <c r="N113" s="161"/>
      <c r="O113" s="129">
        <f>IF(RB2_RPA!C107="No Criteria","No Criteria","")</f>
      </c>
      <c r="P113" s="359"/>
    </row>
    <row r="114" spans="1:16" ht="11.25">
      <c r="A114" s="131">
        <v>103</v>
      </c>
      <c r="B114" s="132" t="s">
        <v>116</v>
      </c>
      <c r="C114" s="134" t="s">
        <v>21</v>
      </c>
      <c r="D114" s="134" t="s">
        <v>21</v>
      </c>
      <c r="E114" s="134">
        <v>0.00108</v>
      </c>
      <c r="F114" s="237"/>
      <c r="G114" s="156">
        <f t="shared" si="2"/>
      </c>
      <c r="H114" s="161"/>
      <c r="I114" s="158" t="s">
        <v>21</v>
      </c>
      <c r="J114" s="133" t="s">
        <v>22</v>
      </c>
      <c r="K114" s="133"/>
      <c r="L114" s="274">
        <v>0.000496</v>
      </c>
      <c r="M114" s="130">
        <f t="shared" si="3"/>
      </c>
      <c r="N114" s="161"/>
      <c r="O114" s="129">
        <f>IF(RB2_RPA!C108="No Criteria","No Criteria","")</f>
      </c>
      <c r="P114" s="361"/>
    </row>
    <row r="115" spans="1:16" ht="11.25">
      <c r="A115" s="131">
        <v>104</v>
      </c>
      <c r="B115" s="132" t="s">
        <v>117</v>
      </c>
      <c r="C115" s="134" t="s">
        <v>21</v>
      </c>
      <c r="D115" s="134" t="s">
        <v>21</v>
      </c>
      <c r="E115" s="134">
        <v>0.00157</v>
      </c>
      <c r="F115" s="238"/>
      <c r="G115" s="156">
        <f t="shared" si="2"/>
      </c>
      <c r="H115" s="161"/>
      <c r="I115" s="158" t="s">
        <v>21</v>
      </c>
      <c r="J115" s="133" t="s">
        <v>22</v>
      </c>
      <c r="K115" s="133"/>
      <c r="L115" s="133">
        <v>0.000413</v>
      </c>
      <c r="M115" s="130">
        <f t="shared" si="3"/>
      </c>
      <c r="N115" s="161"/>
      <c r="O115" s="129">
        <f>IF(RB2_RPA!C109="No Criteria","No Criteria","")</f>
      </c>
      <c r="P115" s="361"/>
    </row>
    <row r="116" spans="1:16" ht="11.25">
      <c r="A116" s="131">
        <v>105</v>
      </c>
      <c r="B116" s="132" t="s">
        <v>118</v>
      </c>
      <c r="C116" s="134" t="s">
        <v>21</v>
      </c>
      <c r="D116" s="134" t="s">
        <v>21</v>
      </c>
      <c r="E116" s="134">
        <v>0.00112</v>
      </c>
      <c r="F116" s="237"/>
      <c r="G116" s="156">
        <f t="shared" si="2"/>
      </c>
      <c r="H116" s="161"/>
      <c r="I116" s="158" t="s">
        <v>21</v>
      </c>
      <c r="J116" s="133" t="s">
        <v>22</v>
      </c>
      <c r="K116" s="133"/>
      <c r="L116" s="240">
        <v>0.0007034</v>
      </c>
      <c r="M116" s="130">
        <f t="shared" si="3"/>
      </c>
      <c r="N116" s="161"/>
      <c r="O116" s="129">
        <f>IF(RB2_RPA!C110="No Criteria","No Criteria","")</f>
      </c>
      <c r="P116" s="361"/>
    </row>
    <row r="117" spans="1:16" ht="11.25">
      <c r="A117" s="131">
        <v>106</v>
      </c>
      <c r="B117" s="132" t="s">
        <v>119</v>
      </c>
      <c r="C117" s="134" t="s">
        <v>21</v>
      </c>
      <c r="D117" s="134" t="s">
        <v>21</v>
      </c>
      <c r="E117" s="134">
        <v>0.001</v>
      </c>
      <c r="F117" s="237"/>
      <c r="G117" s="156">
        <f t="shared" si="2"/>
      </c>
      <c r="H117" s="161"/>
      <c r="I117" s="158" t="s">
        <v>21</v>
      </c>
      <c r="J117" s="133" t="s">
        <v>22</v>
      </c>
      <c r="K117" s="133"/>
      <c r="L117" s="240">
        <v>4.2E-05</v>
      </c>
      <c r="M117" s="130">
        <f t="shared" si="3"/>
      </c>
      <c r="N117" s="161"/>
      <c r="O117" s="129" t="str">
        <f>IF(RB2_RPA!C111="No Criteria","No Criteria","")</f>
        <v>No Criteria</v>
      </c>
      <c r="P117" s="361"/>
    </row>
    <row r="118" spans="1:16" ht="11.25">
      <c r="A118" s="141">
        <v>107</v>
      </c>
      <c r="B118" s="142" t="s">
        <v>120</v>
      </c>
      <c r="C118" s="134" t="s">
        <v>21</v>
      </c>
      <c r="D118" s="134" t="s">
        <v>21</v>
      </c>
      <c r="E118" s="134">
        <v>0.0034</v>
      </c>
      <c r="F118" s="246"/>
      <c r="G118" s="156">
        <f t="shared" si="2"/>
      </c>
      <c r="H118" s="161"/>
      <c r="I118" s="158" t="s">
        <v>21</v>
      </c>
      <c r="J118" s="133" t="s">
        <v>22</v>
      </c>
      <c r="K118" s="133"/>
      <c r="L118" s="134">
        <v>0.00018</v>
      </c>
      <c r="M118" s="130">
        <f t="shared" si="3"/>
      </c>
      <c r="N118" s="161"/>
      <c r="O118" s="129">
        <f>IF(RB2_RPA!C112="No Criteria","No Criteria","")</f>
      </c>
      <c r="P118" s="361"/>
    </row>
    <row r="119" spans="1:16" ht="11.25">
      <c r="A119" s="141">
        <v>108</v>
      </c>
      <c r="B119" s="142" t="s">
        <v>121</v>
      </c>
      <c r="C119" s="134" t="s">
        <v>21</v>
      </c>
      <c r="D119" s="134" t="s">
        <v>21</v>
      </c>
      <c r="E119" s="134">
        <v>0.00329</v>
      </c>
      <c r="F119" s="246"/>
      <c r="G119" s="156">
        <f t="shared" si="2"/>
      </c>
      <c r="H119" s="161"/>
      <c r="I119" s="158" t="s">
        <v>21</v>
      </c>
      <c r="J119" s="133" t="s">
        <v>22</v>
      </c>
      <c r="K119" s="133"/>
      <c r="L119" s="134">
        <v>6.6E-05</v>
      </c>
      <c r="M119" s="130">
        <f t="shared" si="3"/>
      </c>
      <c r="N119" s="161"/>
      <c r="O119" s="129">
        <f>IF(RB2_RPA!C113="No Criteria","No Criteria","")</f>
      </c>
      <c r="P119" s="361"/>
    </row>
    <row r="120" spans="1:16" ht="11.25">
      <c r="A120" s="131">
        <v>109</v>
      </c>
      <c r="B120" s="137" t="s">
        <v>122</v>
      </c>
      <c r="C120" s="134" t="s">
        <v>21</v>
      </c>
      <c r="D120" s="134" t="s">
        <v>21</v>
      </c>
      <c r="E120" s="134">
        <v>0.00183</v>
      </c>
      <c r="F120" s="237"/>
      <c r="G120" s="156">
        <f t="shared" si="2"/>
      </c>
      <c r="H120" s="161"/>
      <c r="I120" s="158" t="s">
        <v>21</v>
      </c>
      <c r="J120" s="133" t="s">
        <v>22</v>
      </c>
      <c r="K120" s="133"/>
      <c r="L120" s="134">
        <v>0.000693</v>
      </c>
      <c r="M120" s="130">
        <f t="shared" si="3"/>
      </c>
      <c r="N120" s="161"/>
      <c r="O120" s="129">
        <f>IF(RB2_RPA!C114="No Criteria","No Criteria","")</f>
      </c>
      <c r="P120" s="361"/>
    </row>
    <row r="121" spans="1:16" ht="11.25">
      <c r="A121" s="131">
        <v>110</v>
      </c>
      <c r="B121" s="132" t="s">
        <v>123</v>
      </c>
      <c r="C121" s="134" t="s">
        <v>21</v>
      </c>
      <c r="D121" s="134" t="s">
        <v>21</v>
      </c>
      <c r="E121" s="134">
        <v>0.00183</v>
      </c>
      <c r="F121" s="237"/>
      <c r="G121" s="156">
        <f t="shared" si="2"/>
      </c>
      <c r="H121" s="161"/>
      <c r="I121" s="158" t="s">
        <v>21</v>
      </c>
      <c r="J121" s="133" t="s">
        <v>22</v>
      </c>
      <c r="K121" s="133"/>
      <c r="L121" s="134">
        <v>0.000313</v>
      </c>
      <c r="M121" s="130">
        <f t="shared" si="3"/>
      </c>
      <c r="N121" s="161"/>
      <c r="O121" s="129">
        <f>IF(RB2_RPA!C115="No Criteria","No Criteria","")</f>
      </c>
      <c r="P121" s="361"/>
    </row>
    <row r="122" spans="1:16" ht="11.25">
      <c r="A122" s="131">
        <v>111</v>
      </c>
      <c r="B122" s="139" t="s">
        <v>124</v>
      </c>
      <c r="C122" s="134" t="s">
        <v>21</v>
      </c>
      <c r="D122" s="134" t="s">
        <v>21</v>
      </c>
      <c r="E122" s="134">
        <v>0.00193</v>
      </c>
      <c r="F122" s="237"/>
      <c r="G122" s="156">
        <f t="shared" si="2"/>
      </c>
      <c r="H122" s="161"/>
      <c r="I122" s="158" t="s">
        <v>21</v>
      </c>
      <c r="J122" s="133" t="s">
        <v>22</v>
      </c>
      <c r="K122" s="133"/>
      <c r="L122" s="134">
        <v>0.000264</v>
      </c>
      <c r="M122" s="130">
        <f t="shared" si="3"/>
      </c>
      <c r="N122" s="161"/>
      <c r="O122" s="129">
        <f>IF(RB2_RPA!C116="No Criteria","No Criteria","")</f>
      </c>
      <c r="P122" s="361"/>
    </row>
    <row r="123" spans="1:16" ht="11.25">
      <c r="A123" s="131">
        <v>112</v>
      </c>
      <c r="B123" s="132" t="s">
        <v>125</v>
      </c>
      <c r="C123" s="134" t="s">
        <v>21</v>
      </c>
      <c r="D123" s="134" t="s">
        <v>21</v>
      </c>
      <c r="E123" s="134">
        <v>0.00263</v>
      </c>
      <c r="F123" s="238"/>
      <c r="G123" s="156">
        <f t="shared" si="2"/>
      </c>
      <c r="H123" s="161"/>
      <c r="I123" s="158" t="s">
        <v>21</v>
      </c>
      <c r="J123" s="133" t="s">
        <v>22</v>
      </c>
      <c r="K123" s="133"/>
      <c r="L123" s="134">
        <v>3.1E-05</v>
      </c>
      <c r="M123" s="130">
        <f t="shared" si="3"/>
      </c>
      <c r="N123" s="161"/>
      <c r="O123" s="129">
        <f>IF(RB2_RPA!C117="No Criteria","No Criteria","")</f>
      </c>
      <c r="P123" s="361"/>
    </row>
    <row r="124" spans="1:16" ht="11.25">
      <c r="A124" s="131">
        <v>113</v>
      </c>
      <c r="B124" s="132" t="s">
        <v>126</v>
      </c>
      <c r="C124" s="134" t="s">
        <v>21</v>
      </c>
      <c r="D124" s="134" t="s">
        <v>21</v>
      </c>
      <c r="E124" s="134">
        <v>0.00183</v>
      </c>
      <c r="F124" s="238"/>
      <c r="G124" s="156">
        <f t="shared" si="2"/>
      </c>
      <c r="H124" s="161"/>
      <c r="I124" s="158" t="s">
        <v>21</v>
      </c>
      <c r="J124" s="133" t="s">
        <v>22</v>
      </c>
      <c r="K124" s="133"/>
      <c r="L124" s="134">
        <v>6.9E-05</v>
      </c>
      <c r="M124" s="130">
        <f t="shared" si="3"/>
      </c>
      <c r="N124" s="161"/>
      <c r="O124" s="129">
        <f>IF(RB2_RPA!C118="No Criteria","No Criteria","")</f>
      </c>
      <c r="P124" s="361"/>
    </row>
    <row r="125" spans="1:16" ht="11.25">
      <c r="A125" s="131">
        <v>114</v>
      </c>
      <c r="B125" s="132" t="s">
        <v>127</v>
      </c>
      <c r="C125" s="134" t="s">
        <v>21</v>
      </c>
      <c r="D125" s="134" t="s">
        <v>21</v>
      </c>
      <c r="E125" s="134">
        <v>0.00217</v>
      </c>
      <c r="F125" s="235"/>
      <c r="G125" s="156">
        <f t="shared" si="2"/>
      </c>
      <c r="H125" s="161"/>
      <c r="I125" s="158" t="s">
        <v>21</v>
      </c>
      <c r="J125" s="133" t="s">
        <v>22</v>
      </c>
      <c r="K125" s="133"/>
      <c r="L125" s="134">
        <v>8.19E-05</v>
      </c>
      <c r="M125" s="130">
        <f t="shared" si="3"/>
      </c>
      <c r="N125" s="161"/>
      <c r="O125" s="129">
        <f>IF(RB2_RPA!C119="No Criteria","No Criteria","")</f>
      </c>
      <c r="P125" s="361"/>
    </row>
    <row r="126" spans="1:16" ht="11.25">
      <c r="A126" s="131">
        <v>115</v>
      </c>
      <c r="B126" s="132" t="s">
        <v>128</v>
      </c>
      <c r="C126" s="134" t="s">
        <v>21</v>
      </c>
      <c r="D126" s="134" t="s">
        <v>21</v>
      </c>
      <c r="E126" s="134">
        <v>0.00208</v>
      </c>
      <c r="F126" s="238"/>
      <c r="G126" s="156">
        <f t="shared" si="2"/>
      </c>
      <c r="H126" s="161"/>
      <c r="I126" s="158" t="s">
        <v>21</v>
      </c>
      <c r="J126" s="133" t="s">
        <v>22</v>
      </c>
      <c r="K126" s="133"/>
      <c r="L126" s="134">
        <v>3.6E-05</v>
      </c>
      <c r="M126" s="130">
        <f t="shared" si="3"/>
      </c>
      <c r="N126" s="161"/>
      <c r="O126" s="129">
        <f>IF(RB2_RPA!C120="No Criteria","No Criteria","")</f>
      </c>
      <c r="P126" s="360"/>
    </row>
    <row r="127" spans="1:16" ht="11.25">
      <c r="A127" s="131">
        <v>116</v>
      </c>
      <c r="B127" s="132" t="s">
        <v>129</v>
      </c>
      <c r="C127" s="134" t="s">
        <v>21</v>
      </c>
      <c r="D127" s="134" t="s">
        <v>21</v>
      </c>
      <c r="E127" s="134">
        <v>0.00241</v>
      </c>
      <c r="F127" s="235"/>
      <c r="G127" s="156">
        <f t="shared" si="2"/>
      </c>
      <c r="H127" s="161"/>
      <c r="I127" s="158" t="s">
        <v>22</v>
      </c>
      <c r="J127" s="133"/>
      <c r="K127" s="133"/>
      <c r="L127" s="240"/>
      <c r="M127" s="130">
        <f t="shared" si="3"/>
      </c>
      <c r="N127" s="161"/>
      <c r="O127" s="129">
        <f>IF(RB2_RPA!C121="No Criteria","No Criteria","")</f>
      </c>
      <c r="P127" s="359"/>
    </row>
    <row r="128" spans="1:16" ht="11.25">
      <c r="A128" s="131">
        <v>117</v>
      </c>
      <c r="B128" s="132" t="s">
        <v>130</v>
      </c>
      <c r="C128" s="134" t="s">
        <v>21</v>
      </c>
      <c r="D128" s="134" t="s">
        <v>21</v>
      </c>
      <c r="E128" s="134">
        <v>0.001</v>
      </c>
      <c r="F128" s="238"/>
      <c r="G128" s="156">
        <f t="shared" si="2"/>
      </c>
      <c r="H128" s="161"/>
      <c r="I128" s="158" t="s">
        <v>21</v>
      </c>
      <c r="J128" s="133" t="s">
        <v>22</v>
      </c>
      <c r="K128" s="133"/>
      <c r="L128" s="134">
        <v>1.9E-05</v>
      </c>
      <c r="M128" s="130">
        <f t="shared" si="3"/>
      </c>
      <c r="N128" s="161"/>
      <c r="O128" s="129">
        <f>IF(RB2_RPA!C122="No Criteria","No Criteria","")</f>
      </c>
      <c r="P128" s="360"/>
    </row>
    <row r="129" spans="1:16" ht="11.25">
      <c r="A129" s="131">
        <v>118</v>
      </c>
      <c r="B129" s="132" t="s">
        <v>131</v>
      </c>
      <c r="C129" s="134" t="s">
        <v>21</v>
      </c>
      <c r="D129" s="134" t="s">
        <v>21</v>
      </c>
      <c r="E129" s="134">
        <v>0.00123</v>
      </c>
      <c r="F129" s="238"/>
      <c r="G129" s="156">
        <f t="shared" si="2"/>
      </c>
      <c r="H129" s="161"/>
      <c r="I129" s="158" t="s">
        <v>21</v>
      </c>
      <c r="J129" s="133" t="s">
        <v>22</v>
      </c>
      <c r="K129" s="133"/>
      <c r="L129" s="134">
        <v>9.4E-05</v>
      </c>
      <c r="M129" s="130">
        <f t="shared" si="3"/>
      </c>
      <c r="N129" s="161"/>
      <c r="O129" s="129">
        <f>IF(RB2_RPA!C123="No Criteria","No Criteria","")</f>
      </c>
      <c r="P129" s="360"/>
    </row>
    <row r="130" spans="1:16" ht="11.25">
      <c r="A130" s="67" t="s">
        <v>227</v>
      </c>
      <c r="B130" s="65" t="s">
        <v>228</v>
      </c>
      <c r="C130" s="134" t="s">
        <v>21</v>
      </c>
      <c r="D130" s="134" t="s">
        <v>21</v>
      </c>
      <c r="E130" s="134">
        <v>0.1</v>
      </c>
      <c r="F130" s="235"/>
      <c r="G130" s="156">
        <f t="shared" si="2"/>
      </c>
      <c r="H130" s="161"/>
      <c r="I130" s="158" t="s">
        <v>22</v>
      </c>
      <c r="J130" s="133"/>
      <c r="K130" s="133"/>
      <c r="L130" s="240"/>
      <c r="M130" s="130">
        <f t="shared" si="3"/>
      </c>
      <c r="N130" s="161"/>
      <c r="O130" s="129">
        <f>IF(RB2_RPA!C124="No Criteria","No Criteria","")</f>
      </c>
      <c r="P130" s="359"/>
    </row>
    <row r="131" spans="1:16" ht="11.25">
      <c r="A131" s="131">
        <v>126</v>
      </c>
      <c r="B131" s="132" t="s">
        <v>132</v>
      </c>
      <c r="C131" s="134" t="s">
        <v>21</v>
      </c>
      <c r="D131" s="134" t="s">
        <v>21</v>
      </c>
      <c r="E131" s="271">
        <v>0.035</v>
      </c>
      <c r="F131" s="235"/>
      <c r="G131" s="156">
        <f t="shared" si="2"/>
      </c>
      <c r="H131" s="161"/>
      <c r="I131" s="158" t="s">
        <v>22</v>
      </c>
      <c r="J131" s="143"/>
      <c r="K131" s="143"/>
      <c r="L131" s="240"/>
      <c r="M131" s="130">
        <f t="shared" si="3"/>
      </c>
      <c r="N131" s="161"/>
      <c r="O131" s="129">
        <f>IF(RB2_RPA!C125="No Criteria","No Criteria","")</f>
      </c>
      <c r="P131" s="359"/>
    </row>
    <row r="132" spans="1:16" ht="11.25">
      <c r="A132" s="135"/>
      <c r="B132" s="31" t="s">
        <v>263</v>
      </c>
      <c r="C132" s="134" t="s">
        <v>21</v>
      </c>
      <c r="D132" s="134" t="s">
        <v>22</v>
      </c>
      <c r="E132" s="247"/>
      <c r="F132" s="298">
        <v>0.0046</v>
      </c>
      <c r="G132" s="156">
        <f t="shared" si="2"/>
      </c>
      <c r="H132" s="162"/>
      <c r="I132" s="158" t="s">
        <v>21</v>
      </c>
      <c r="J132" s="143" t="s">
        <v>21</v>
      </c>
      <c r="K132" s="231">
        <v>0.001</v>
      </c>
      <c r="L132" s="134"/>
      <c r="M132" s="130">
        <f t="shared" si="3"/>
      </c>
      <c r="N132" s="162"/>
      <c r="O132" s="129">
        <f>IF(RB2_RPA!C126="No Criteria","No Criteria","")</f>
      </c>
      <c r="P132" s="359"/>
    </row>
    <row r="133" spans="1:16" ht="12.75">
      <c r="A133" s="273"/>
      <c r="B133" s="273" t="s">
        <v>427</v>
      </c>
      <c r="C133" s="134" t="s">
        <v>21</v>
      </c>
      <c r="D133" s="134" t="s">
        <v>22</v>
      </c>
      <c r="E133" s="271"/>
      <c r="F133" s="271">
        <v>0.155</v>
      </c>
      <c r="G133" s="156">
        <f t="shared" si="2"/>
      </c>
      <c r="I133" s="158" t="s">
        <v>21</v>
      </c>
      <c r="J133" s="143" t="s">
        <v>22</v>
      </c>
      <c r="K133" s="71"/>
      <c r="L133" s="75">
        <v>0.052</v>
      </c>
      <c r="M133" s="130">
        <f t="shared" si="3"/>
      </c>
      <c r="N133" s="162"/>
      <c r="O133" s="129">
        <f>IF(RB2_RPA!C127="No Criteria","No Criteria","")</f>
      </c>
      <c r="P133" s="359"/>
    </row>
    <row r="134" ht="11.25">
      <c r="P134" s="359"/>
    </row>
    <row r="135" spans="3:16" ht="11.25"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359"/>
    </row>
    <row r="136" ht="11.25">
      <c r="P136" s="359"/>
    </row>
    <row r="137" ht="11.25">
      <c r="P137" s="359"/>
    </row>
    <row r="138" ht="11.25">
      <c r="P138" s="359"/>
    </row>
    <row r="139" ht="11.25">
      <c r="P139" s="360"/>
    </row>
    <row r="140" ht="11.25">
      <c r="P140" s="360"/>
    </row>
  </sheetData>
  <mergeCells count="15">
    <mergeCell ref="C7:G7"/>
    <mergeCell ref="I7:M7"/>
    <mergeCell ref="E8:E9"/>
    <mergeCell ref="F8:F9"/>
    <mergeCell ref="L8:L9"/>
    <mergeCell ref="O8:O9"/>
    <mergeCell ref="A8:A9"/>
    <mergeCell ref="B8:B9"/>
    <mergeCell ref="C8:C9"/>
    <mergeCell ref="D8:D9"/>
    <mergeCell ref="I8:I9"/>
    <mergeCell ref="J8:J9"/>
    <mergeCell ref="K8:K9"/>
    <mergeCell ref="G8:G9"/>
    <mergeCell ref="M8:M9"/>
  </mergeCells>
  <printOptions/>
  <pageMargins left="0.75" right="0.75" top="1" bottom="1" header="0.5" footer="0.5"/>
  <pageSetup fitToHeight="1" fitToWidth="1" horizontalDpi="600" verticalDpi="600" orientation="portrait" scale="42" r:id="rId3"/>
  <headerFooter alignWithMargins="0">
    <oddHeader>&amp;L&amp;A
&amp;F
&amp;D&amp;C&amp;P of &amp;N</oddHeader>
    <oddFooter>&amp;L&amp;A
&amp;F
&amp;C&amp;P of &amp;N&amp;R&amp;D.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8"/>
  <sheetViews>
    <sheetView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2" max="2" width="27.140625" style="0" customWidth="1"/>
    <col min="3" max="3" width="13.28125" style="0" customWidth="1"/>
    <col min="6" max="7" width="10.8515625" style="0" customWidth="1"/>
    <col min="8" max="8" width="25.57421875" style="0" customWidth="1"/>
    <col min="9" max="9" width="17.140625" style="4" customWidth="1"/>
    <col min="10" max="10" width="33.421875" style="0" customWidth="1"/>
    <col min="11" max="11" width="1.421875" style="0" customWidth="1"/>
    <col min="14" max="15" width="10.8515625" style="0" customWidth="1"/>
    <col min="16" max="16" width="25.57421875" style="0" customWidth="1"/>
    <col min="17" max="17" width="23.28125" style="14" customWidth="1"/>
    <col min="18" max="18" width="23.8515625" style="0" customWidth="1"/>
    <col min="19" max="19" width="14.8515625" style="0" customWidth="1"/>
    <col min="20" max="20" width="29.28125" style="0" customWidth="1"/>
  </cols>
  <sheetData>
    <row r="1" spans="1:20" ht="17.25" thickBot="1" thickTop="1">
      <c r="A1" s="1" t="s">
        <v>0</v>
      </c>
      <c r="B1" s="2"/>
      <c r="C1" s="46"/>
      <c r="D1" s="3" t="s">
        <v>1</v>
      </c>
      <c r="E1" s="28" t="s">
        <v>2</v>
      </c>
      <c r="F1" s="26"/>
      <c r="G1" s="26"/>
      <c r="H1" s="26"/>
      <c r="I1" s="29"/>
      <c r="J1" s="26" t="s">
        <v>3</v>
      </c>
      <c r="K1" s="163"/>
      <c r="L1" s="164" t="s">
        <v>1</v>
      </c>
      <c r="M1" s="165" t="s">
        <v>2</v>
      </c>
      <c r="N1" s="166"/>
      <c r="O1" s="166" t="s">
        <v>4</v>
      </c>
      <c r="P1" s="166"/>
      <c r="Q1" s="26" t="s">
        <v>5</v>
      </c>
      <c r="R1" s="115" t="s">
        <v>248</v>
      </c>
      <c r="S1" s="26" t="s">
        <v>148</v>
      </c>
      <c r="T1" s="163"/>
    </row>
    <row r="2" spans="1:20" s="125" customFormat="1" ht="26.25" customHeight="1" thickBot="1">
      <c r="A2" s="573"/>
      <c r="B2" s="575" t="s">
        <v>6</v>
      </c>
      <c r="C2" s="118" t="s">
        <v>144</v>
      </c>
      <c r="D2" s="577" t="s">
        <v>146</v>
      </c>
      <c r="E2" s="569" t="s">
        <v>147</v>
      </c>
      <c r="F2" s="569" t="s">
        <v>242</v>
      </c>
      <c r="G2" s="569" t="s">
        <v>243</v>
      </c>
      <c r="H2" s="581" t="s">
        <v>239</v>
      </c>
      <c r="I2" s="27" t="s">
        <v>241</v>
      </c>
      <c r="J2" s="114" t="s">
        <v>244</v>
      </c>
      <c r="K2" s="114"/>
      <c r="L2" s="571" t="s">
        <v>264</v>
      </c>
      <c r="M2" s="569" t="s">
        <v>268</v>
      </c>
      <c r="N2" s="569" t="s">
        <v>242</v>
      </c>
      <c r="O2" s="569" t="s">
        <v>269</v>
      </c>
      <c r="P2" s="579" t="s">
        <v>270</v>
      </c>
      <c r="Q2" s="114" t="s">
        <v>246</v>
      </c>
      <c r="R2" s="583" t="s">
        <v>249</v>
      </c>
      <c r="S2" s="27"/>
      <c r="T2" s="5"/>
    </row>
    <row r="3" spans="1:20" s="125" customFormat="1" ht="64.5" customHeight="1" thickBot="1">
      <c r="A3" s="574"/>
      <c r="B3" s="576"/>
      <c r="C3" s="119" t="s">
        <v>187</v>
      </c>
      <c r="D3" s="578"/>
      <c r="E3" s="570"/>
      <c r="F3" s="570"/>
      <c r="G3" s="570"/>
      <c r="H3" s="582"/>
      <c r="I3" s="120" t="s">
        <v>240</v>
      </c>
      <c r="J3" s="121" t="s">
        <v>245</v>
      </c>
      <c r="K3" s="123"/>
      <c r="L3" s="572"/>
      <c r="M3" s="570"/>
      <c r="N3" s="570"/>
      <c r="O3" s="570"/>
      <c r="P3" s="580"/>
      <c r="Q3" s="122" t="s">
        <v>247</v>
      </c>
      <c r="R3" s="584"/>
      <c r="S3" s="123" t="s">
        <v>250</v>
      </c>
      <c r="T3" s="124" t="s">
        <v>236</v>
      </c>
    </row>
    <row r="4" spans="1:20" ht="13.5" thickTop="1">
      <c r="A4" s="6">
        <v>1</v>
      </c>
      <c r="B4" s="7" t="s">
        <v>20</v>
      </c>
      <c r="C4" s="99">
        <f>Criteria!C8</f>
        <v>4300</v>
      </c>
      <c r="D4" s="116" t="str">
        <f>IF('input for RPA'!C10="","",'input for RPA'!C10)</f>
        <v>Y</v>
      </c>
      <c r="E4" s="116" t="str">
        <f>IF('input for RPA'!D10="","",'input for RPA'!D10)</f>
        <v>Y</v>
      </c>
      <c r="F4" s="116">
        <f>IF('input for RPA'!E10="","",'input for RPA'!E10)</f>
        <v>1</v>
      </c>
      <c r="G4" s="116">
        <f>IF('input for RPA'!F10="","",'input for RPA'!F10)</f>
      </c>
      <c r="H4" s="12" t="str">
        <f>IF(C4="No Criteria","No Criteria",IF(D4="N","No effluent data",IF(E4="N","",IF(F4&lt;C4,"All ND, MDL&lt;C, MEC=MDL","All ND, MinDL&gt;C, Go to Step 5, &amp; IM"))))</f>
        <v>All ND, MDL&lt;C, MEC=MDL</v>
      </c>
      <c r="I4" s="117">
        <f aca="true" t="shared" si="0" ref="I4:I36">IF(C4="No Criteria","No Criteria",IF(D4="N","",IF(E4="N",G4,IF(H4="All ND, MDL&lt;C, MEC=MDL",F4,""))))</f>
        <v>1</v>
      </c>
      <c r="J4" s="117" t="str">
        <f aca="true" t="shared" si="1" ref="J4:J36">IF(C4="No Criteria","No Criteria",IF(I4="","",IF(I4&gt;=C4,"MEC&gt;=C, Effluent Limits Required","MEC&lt;C, go to Step 5")))</f>
        <v>MEC&lt;C, go to Step 5</v>
      </c>
      <c r="K4" s="117"/>
      <c r="L4" s="116" t="str">
        <f>IF('input for RPA'!I10="","",'input for RPA'!I10)</f>
        <v>Y</v>
      </c>
      <c r="M4" s="116" t="str">
        <f>IF('input for RPA'!J10="","",'input for RPA'!J10)</f>
        <v>N</v>
      </c>
      <c r="N4" s="116">
        <f>IF('input for RPA'!K10="","",'input for RPA'!K10)</f>
      </c>
      <c r="O4" s="116">
        <f>IF('input for RPA'!L10="","",'input for RPA'!L10)</f>
        <v>1.8</v>
      </c>
      <c r="P4" s="116">
        <f>IF(N4="","",IF(N4&gt;C4,"Y","N"))</f>
      </c>
      <c r="Q4" s="12" t="str">
        <f>IF(C4="No Criteria","No Criteria",IF(O4="","No detected value of B, Step 7",IF(O4&gt;C4,"B&gt;C, Effluent Limit Required","B&lt;C, Step 7")))</f>
        <v>B&lt;C, Step 7</v>
      </c>
      <c r="R4" s="116">
        <f>'input for RPA'!O10</f>
      </c>
      <c r="S4" s="145" t="str">
        <f aca="true" t="shared" si="2" ref="S4:S27">IF(C4="No Criteria","Uo",IF(D4="N",IF(L4="N","Ud",IF(M4="Y","No",IF(O4&gt;C4,"Yes","Ud"))),IF(H4="All ND, MinDL&gt;C, Go to Step 5, &amp; IM",IF(L4="N","No",IF(M4="Y","No",IF(O4&gt;C4,"Yes","No"))),IF(I4="No Criteria","Uo",IF(I4&gt;C4,"Yes",IF(M4="N",IF(O4&gt;C4,"Yes","No"),"No"))))))</f>
        <v>No</v>
      </c>
      <c r="T4" s="146" t="str">
        <f>IF(C4="No Criteria","No Criteria",IF(D4="N",IF(L4="N","no effluent data &amp; no B",IF(M4="Y","Ud, no effluent data &amp; B is ND",IF(O4&gt;C4,"B&gt;C","no effluent data &amp; B&lt;C"))),IF(H4="All ND, MinDL&gt;C, Go to Step 5, &amp; IM",IF(L4="N","MDL&gt;C &amp; No B",IF(M4="Y","UD; effluent data and B are ND",IF(O4&gt;C4,"B&gt;C","UD; effluent data ND, MDL&gt;C &amp; B&lt;C"))),IF(I4="No Criteria","No Criteria",IF(I4&gt;C4,"MEC&gt;C",IF(M4="N",IF(O4&gt;C4,"B&gt;C","MEC&lt;C &amp; B&lt;C"),"Ud;MEC&lt;C &amp; B is ND"))))))</f>
        <v>MEC&lt;C &amp; B&lt;C</v>
      </c>
    </row>
    <row r="5" spans="1:20" ht="14.25">
      <c r="A5" s="9">
        <v>2</v>
      </c>
      <c r="B5" s="10" t="s">
        <v>133</v>
      </c>
      <c r="C5" s="99">
        <f>Criteria!C9</f>
        <v>36</v>
      </c>
      <c r="D5" s="116" t="str">
        <f>IF('input for RPA'!C11="","",'input for RPA'!C11)</f>
        <v>Y</v>
      </c>
      <c r="E5" s="116" t="str">
        <f>IF('input for RPA'!D11="","",'input for RPA'!D11)</f>
        <v>N</v>
      </c>
      <c r="F5" s="116">
        <f>IF('input for RPA'!E11="","",'input for RPA'!E11)</f>
      </c>
      <c r="G5" s="116">
        <f>IF('input for RPA'!F11="","",'input for RPA'!F11)</f>
        <v>4.62</v>
      </c>
      <c r="H5" s="12">
        <f aca="true" t="shared" si="3" ref="H5:H69">IF(C5="No Criteria","No Criteria",IF(D5="N","No effluent data",IF(E5="N","",IF(F5&lt;C5,"All ND, MDL&lt;C, MEC=MDL","All ND, MinDL&gt;C, Go to Step 5, &amp; IM"))))</f>
      </c>
      <c r="I5" s="117">
        <f t="shared" si="0"/>
        <v>4.62</v>
      </c>
      <c r="J5" s="12" t="str">
        <f t="shared" si="1"/>
        <v>MEC&lt;C, go to Step 5</v>
      </c>
      <c r="K5" s="117"/>
      <c r="L5" s="116" t="str">
        <f>IF('input for RPA'!I11="","",'input for RPA'!I11)</f>
        <v>Y</v>
      </c>
      <c r="M5" s="116" t="str">
        <f>IF('input for RPA'!J11="","",'input for RPA'!J11)</f>
        <v>N</v>
      </c>
      <c r="N5" s="116">
        <f>IF('input for RPA'!K11="","",'input for RPA'!K11)</f>
      </c>
      <c r="O5" s="116">
        <f>IF('input for RPA'!L11="","",'input for RPA'!L11)</f>
        <v>2.46</v>
      </c>
      <c r="P5" s="116">
        <f aca="true" t="shared" si="4" ref="P5:P69">IF(N5="","",IF(N5&gt;C5,"Y","N"))</f>
      </c>
      <c r="Q5" s="12" t="str">
        <f aca="true" t="shared" si="5" ref="Q5:Q69">IF(C5="No Criteria","No Criteria",IF(O5="","No detected value of B, Step 7",IF(O5&gt;C5,"B&gt;C, Effluent Limit Required","B&lt;C, Step 7")))</f>
        <v>B&lt;C, Step 7</v>
      </c>
      <c r="R5" s="116">
        <f>'input for RPA'!O11</f>
      </c>
      <c r="S5" s="145" t="str">
        <f t="shared" si="2"/>
        <v>No</v>
      </c>
      <c r="T5" s="146" t="str">
        <f aca="true" t="shared" si="6" ref="T5:T69">IF(C5="No Criteria","No Criteria",IF(D5="N",IF(L5="N","no effluent data &amp; no B",IF(M5="Y","Ud, no effluent data &amp; B is ND",IF(O5&gt;C5,"B&gt;C","no effluent data &amp; B&lt;C"))),IF(H5="All ND, MinDL&gt;C, Go to Step 5, &amp; IM",IF(L5="N","MDL&gt;C &amp; No B",IF(M5="Y","UD; effluent data and B are ND",IF(O5&gt;C5,"B&gt;C","UD; effluent data ND, MDL&gt;C &amp; B&lt;C"))),IF(I5="No Criteria","No Criteria",IF(I5&gt;C5,"MEC&gt;C",IF(M5="N",IF(O5&gt;C5,"B&gt;C","MEC&lt;C &amp; B&lt;C"),"Ud;MEC&lt;C &amp; B is ND"))))))</f>
        <v>MEC&lt;C &amp; B&lt;C</v>
      </c>
    </row>
    <row r="6" spans="1:20" ht="12.75">
      <c r="A6" s="9">
        <v>3</v>
      </c>
      <c r="B6" s="10" t="s">
        <v>23</v>
      </c>
      <c r="C6" s="99" t="str">
        <f>Criteria!C10</f>
        <v>No Criteria</v>
      </c>
      <c r="D6" s="116" t="str">
        <f>IF('input for RPA'!C12="","",'input for RPA'!C12)</f>
        <v>Y</v>
      </c>
      <c r="E6" s="116" t="str">
        <f>IF('input for RPA'!D12="","",'input for RPA'!D12)</f>
        <v>Y</v>
      </c>
      <c r="F6" s="116">
        <f>IF('input for RPA'!E12="","",'input for RPA'!E12)</f>
        <v>1</v>
      </c>
      <c r="G6" s="116">
        <f>IF('input for RPA'!F12="","",'input for RPA'!F12)</f>
      </c>
      <c r="H6" s="12" t="str">
        <f t="shared" si="3"/>
        <v>No Criteria</v>
      </c>
      <c r="I6" s="117" t="str">
        <f t="shared" si="0"/>
        <v>No Criteria</v>
      </c>
      <c r="J6" s="12" t="str">
        <f t="shared" si="1"/>
        <v>No Criteria</v>
      </c>
      <c r="K6" s="117"/>
      <c r="L6" s="116" t="str">
        <f>IF('input for RPA'!I12="","",'input for RPA'!I12)</f>
        <v>Y</v>
      </c>
      <c r="M6" s="116" t="str">
        <f>IF('input for RPA'!J12="","",'input for RPA'!J12)</f>
        <v>N</v>
      </c>
      <c r="N6" s="116">
        <f>IF('input for RPA'!K12="","",'input for RPA'!K12)</f>
      </c>
      <c r="O6" s="116">
        <f>IF('input for RPA'!L12="","",'input for RPA'!L12)</f>
        <v>0.215</v>
      </c>
      <c r="P6" s="116">
        <f t="shared" si="4"/>
      </c>
      <c r="Q6" s="12" t="str">
        <f t="shared" si="5"/>
        <v>No Criteria</v>
      </c>
      <c r="R6" s="116" t="str">
        <f>'input for RPA'!O12</f>
        <v>No Criteria</v>
      </c>
      <c r="S6" s="145" t="str">
        <f t="shared" si="2"/>
        <v>Uo</v>
      </c>
      <c r="T6" s="146" t="str">
        <f t="shared" si="6"/>
        <v>No Criteria</v>
      </c>
    </row>
    <row r="7" spans="1:20" ht="14.25">
      <c r="A7" s="9">
        <v>4</v>
      </c>
      <c r="B7" s="10" t="s">
        <v>134</v>
      </c>
      <c r="C7" s="101">
        <f>Criteria!C11</f>
        <v>9.3</v>
      </c>
      <c r="D7" s="116" t="str">
        <f>IF('input for RPA'!C13="","",'input for RPA'!C13)</f>
        <v>Y</v>
      </c>
      <c r="E7" s="116" t="str">
        <f>IF('input for RPA'!D13="","",'input for RPA'!D13)</f>
        <v>N</v>
      </c>
      <c r="F7" s="116">
        <f>IF('input for RPA'!E13="","",'input for RPA'!E13)</f>
      </c>
      <c r="G7" s="116">
        <f>IF('input for RPA'!F13="","",'input for RPA'!F13)</f>
        <v>1.03</v>
      </c>
      <c r="H7" s="12">
        <f t="shared" si="3"/>
      </c>
      <c r="I7" s="117">
        <f t="shared" si="0"/>
        <v>1.03</v>
      </c>
      <c r="J7" s="12" t="str">
        <f t="shared" si="1"/>
        <v>MEC&lt;C, go to Step 5</v>
      </c>
      <c r="K7" s="117"/>
      <c r="L7" s="116" t="str">
        <f>IF('input for RPA'!I13="","",'input for RPA'!I13)</f>
        <v>Y</v>
      </c>
      <c r="M7" s="116" t="str">
        <f>IF('input for RPA'!J13="","",'input for RPA'!J13)</f>
        <v>N</v>
      </c>
      <c r="N7" s="116">
        <f>IF('input for RPA'!K13="","",'input for RPA'!K13)</f>
      </c>
      <c r="O7" s="116">
        <f>IF('input for RPA'!L13="","",'input for RPA'!L13)</f>
        <v>0.1268</v>
      </c>
      <c r="P7" s="116">
        <f t="shared" si="4"/>
      </c>
      <c r="Q7" s="12" t="str">
        <f t="shared" si="5"/>
        <v>B&lt;C, Step 7</v>
      </c>
      <c r="R7" s="116">
        <f>'input for RPA'!O13</f>
      </c>
      <c r="S7" s="145" t="str">
        <f t="shared" si="2"/>
        <v>No</v>
      </c>
      <c r="T7" s="146" t="str">
        <f t="shared" si="6"/>
        <v>MEC&lt;C &amp; B&lt;C</v>
      </c>
    </row>
    <row r="8" spans="1:20" s="19" customFormat="1" ht="12.75">
      <c r="A8" s="9" t="s">
        <v>24</v>
      </c>
      <c r="B8" s="48" t="s">
        <v>25</v>
      </c>
      <c r="C8" s="101" t="str">
        <f>Criteria!C12</f>
        <v>  No Criteria</v>
      </c>
      <c r="D8" s="147" t="str">
        <f>IF('input for RPA'!C14="","",'input for RPA'!C14)</f>
        <v>N</v>
      </c>
      <c r="E8" s="147">
        <f>IF('input for RPA'!D14="","",'input for RPA'!D14)</f>
      </c>
      <c r="F8" s="147">
        <f>IF('input for RPA'!E14="","",'input for RPA'!E14)</f>
      </c>
      <c r="G8" s="147">
        <f>IF('input for RPA'!F14="","",'input for RPA'!F14)</f>
      </c>
      <c r="H8" s="148" t="str">
        <f t="shared" si="3"/>
        <v>No effluent data</v>
      </c>
      <c r="I8" s="149">
        <f t="shared" si="0"/>
      </c>
      <c r="J8" s="148">
        <f t="shared" si="1"/>
      </c>
      <c r="K8" s="149"/>
      <c r="L8" s="116" t="str">
        <f>IF('input for RPA'!I14="","",'input for RPA'!I14)</f>
        <v>N</v>
      </c>
      <c r="M8" s="116">
        <f>IF('input for RPA'!J14="","",'input for RPA'!J14)</f>
      </c>
      <c r="N8" s="116">
        <f>IF('input for RPA'!K14="","",'input for RPA'!K14)</f>
      </c>
      <c r="O8" s="116">
        <f>IF('input for RPA'!L14="","",'input for RPA'!L14)</f>
      </c>
      <c r="P8" s="116">
        <f t="shared" si="4"/>
      </c>
      <c r="Q8" s="12" t="str">
        <f t="shared" si="5"/>
        <v>No detected value of B, Step 7</v>
      </c>
      <c r="R8" s="147">
        <f>'input for RPA'!O14</f>
      </c>
      <c r="S8" s="145" t="str">
        <f t="shared" si="2"/>
        <v>Ud</v>
      </c>
      <c r="T8" s="146" t="str">
        <f t="shared" si="6"/>
        <v>no effluent data &amp; no B</v>
      </c>
    </row>
    <row r="9" spans="1:20" ht="14.25">
      <c r="A9" s="9" t="s">
        <v>26</v>
      </c>
      <c r="B9" s="10" t="s">
        <v>143</v>
      </c>
      <c r="C9" s="101">
        <f>Criteria!C13</f>
        <v>50</v>
      </c>
      <c r="D9" s="116" t="str">
        <f>IF('input for RPA'!C15="","",'input for RPA'!C15)</f>
        <v>Y</v>
      </c>
      <c r="E9" s="116" t="str">
        <f>IF('input for RPA'!D15="","",'input for RPA'!D15)</f>
        <v>N</v>
      </c>
      <c r="F9" s="116">
        <f>IF('input for RPA'!E15="","",'input for RPA'!E15)</f>
      </c>
      <c r="G9" s="116">
        <f>IF('input for RPA'!F15="","",'input for RPA'!F15)</f>
        <v>2.53</v>
      </c>
      <c r="H9" s="12">
        <f t="shared" si="3"/>
      </c>
      <c r="I9" s="117">
        <f t="shared" si="0"/>
        <v>2.53</v>
      </c>
      <c r="J9" s="12" t="str">
        <f t="shared" si="1"/>
        <v>MEC&lt;C, go to Step 5</v>
      </c>
      <c r="K9" s="117"/>
      <c r="L9" s="116" t="str">
        <f>IF('input for RPA'!I15="","",'input for RPA'!I15)</f>
        <v>Y</v>
      </c>
      <c r="M9" s="116" t="str">
        <f>IF('input for RPA'!J15="","",'input for RPA'!J15)</f>
        <v>N</v>
      </c>
      <c r="N9" s="116">
        <f>IF('input for RPA'!K15="","",'input for RPA'!K15)</f>
      </c>
      <c r="O9" s="116">
        <f>IF('input for RPA'!L15="","",'input for RPA'!L15)</f>
        <v>4.4</v>
      </c>
      <c r="P9" s="116">
        <f t="shared" si="4"/>
      </c>
      <c r="Q9" s="12" t="str">
        <f t="shared" si="5"/>
        <v>B&lt;C, Step 7</v>
      </c>
      <c r="R9" s="116">
        <f>'input for RPA'!O15</f>
      </c>
      <c r="S9" s="145" t="str">
        <f t="shared" si="2"/>
        <v>No</v>
      </c>
      <c r="T9" s="146" t="str">
        <f t="shared" si="6"/>
        <v>MEC&lt;C &amp; B&lt;C</v>
      </c>
    </row>
    <row r="10" spans="1:20" ht="14.25">
      <c r="A10" s="9">
        <v>6</v>
      </c>
      <c r="B10" s="13" t="s">
        <v>135</v>
      </c>
      <c r="C10" s="101">
        <f>Criteria!C14</f>
        <v>3.734939759036145</v>
      </c>
      <c r="D10" s="116" t="str">
        <f>IF('input for RPA'!C16="","",'input for RPA'!C16)</f>
        <v>Y</v>
      </c>
      <c r="E10" s="116" t="str">
        <f>IF('input for RPA'!D16="","",'input for RPA'!D16)</f>
        <v>N</v>
      </c>
      <c r="F10" s="116">
        <f>IF('input for RPA'!E16="","",'input for RPA'!E16)</f>
      </c>
      <c r="G10" s="116">
        <f>IF('input for RPA'!F16="","",'input for RPA'!F16)</f>
        <v>21.77</v>
      </c>
      <c r="H10" s="12">
        <f t="shared" si="3"/>
      </c>
      <c r="I10" s="117">
        <f t="shared" si="0"/>
        <v>21.77</v>
      </c>
      <c r="J10" s="12" t="str">
        <f t="shared" si="1"/>
        <v>MEC&gt;=C, Effluent Limits Required</v>
      </c>
      <c r="K10" s="117"/>
      <c r="L10" s="116" t="str">
        <f>IF('input for RPA'!I16="","",'input for RPA'!I16)</f>
        <v>Y</v>
      </c>
      <c r="M10" s="116" t="str">
        <f>IF('input for RPA'!J16="","",'input for RPA'!J16)</f>
        <v>N</v>
      </c>
      <c r="N10" s="116">
        <f>IF('input for RPA'!K16="","",'input for RPA'!K16)</f>
      </c>
      <c r="O10" s="116">
        <f>IF('input for RPA'!L16="","",'input for RPA'!L16)</f>
        <v>2.45</v>
      </c>
      <c r="P10" s="116">
        <f t="shared" si="4"/>
      </c>
      <c r="Q10" s="12" t="str">
        <f t="shared" si="5"/>
        <v>B&lt;C, Step 7</v>
      </c>
      <c r="R10" s="116">
        <f>'input for RPA'!O16</f>
      </c>
      <c r="S10" s="383" t="str">
        <f t="shared" si="2"/>
        <v>Yes</v>
      </c>
      <c r="T10" s="146" t="str">
        <f t="shared" si="6"/>
        <v>MEC&gt;C</v>
      </c>
    </row>
    <row r="11" spans="1:20" ht="14.25">
      <c r="A11" s="9">
        <v>7</v>
      </c>
      <c r="B11" s="10" t="s">
        <v>136</v>
      </c>
      <c r="C11" s="101">
        <f>Criteria!C15</f>
        <v>5.6</v>
      </c>
      <c r="D11" s="116" t="str">
        <f>IF('input for RPA'!C17="","",'input for RPA'!C17)</f>
        <v>Y</v>
      </c>
      <c r="E11" s="116" t="str">
        <f>IF('input for RPA'!D17="","",'input for RPA'!D17)</f>
        <v>N</v>
      </c>
      <c r="F11" s="116">
        <f>IF('input for RPA'!E17="","",'input for RPA'!E17)</f>
      </c>
      <c r="G11" s="116">
        <f>IF('input for RPA'!F17="","",'input for RPA'!F17)</f>
        <v>13.88</v>
      </c>
      <c r="H11" s="12">
        <f t="shared" si="3"/>
      </c>
      <c r="I11" s="117">
        <f t="shared" si="0"/>
        <v>13.88</v>
      </c>
      <c r="J11" s="12" t="str">
        <f t="shared" si="1"/>
        <v>MEC&gt;=C, Effluent Limits Required</v>
      </c>
      <c r="K11" s="117"/>
      <c r="L11" s="116" t="str">
        <f>IF('input for RPA'!I17="","",'input for RPA'!I17)</f>
        <v>Y</v>
      </c>
      <c r="M11" s="116" t="str">
        <f>IF('input for RPA'!J17="","",'input for RPA'!J17)</f>
        <v>N</v>
      </c>
      <c r="N11" s="116">
        <f>IF('input for RPA'!K17="","",'input for RPA'!K17)</f>
      </c>
      <c r="O11" s="116">
        <f>IF('input for RPA'!L17="","",'input for RPA'!L17)</f>
        <v>0.8</v>
      </c>
      <c r="P11" s="116">
        <f t="shared" si="4"/>
      </c>
      <c r="Q11" s="12" t="str">
        <f t="shared" si="5"/>
        <v>B&lt;C, Step 7</v>
      </c>
      <c r="R11" s="116">
        <f>'input for RPA'!O17</f>
      </c>
      <c r="S11" s="383" t="str">
        <f t="shared" si="2"/>
        <v>Yes</v>
      </c>
      <c r="T11" s="146" t="str">
        <f t="shared" si="6"/>
        <v>MEC&gt;C</v>
      </c>
    </row>
    <row r="12" spans="1:20" ht="14.25">
      <c r="A12" s="9">
        <v>8</v>
      </c>
      <c r="B12" s="13" t="s">
        <v>137</v>
      </c>
      <c r="C12" s="102">
        <f>Criteria!C16</f>
        <v>0.025</v>
      </c>
      <c r="D12" s="116" t="str">
        <f>IF('input for RPA'!C18="","",'input for RPA'!C18)</f>
        <v>Y</v>
      </c>
      <c r="E12" s="116" t="str">
        <f>IF('input for RPA'!D18="","",'input for RPA'!D18)</f>
        <v>N</v>
      </c>
      <c r="F12" s="116">
        <f>IF('input for RPA'!E18="","",'input for RPA'!E18)</f>
      </c>
      <c r="G12" s="116">
        <f>IF('input for RPA'!F18="","",'input for RPA'!F18)</f>
        <v>0.0591</v>
      </c>
      <c r="H12" s="12">
        <f t="shared" si="3"/>
      </c>
      <c r="I12" s="117">
        <f t="shared" si="0"/>
        <v>0.0591</v>
      </c>
      <c r="J12" s="12" t="str">
        <f t="shared" si="1"/>
        <v>MEC&gt;=C, Effluent Limits Required</v>
      </c>
      <c r="K12" s="117"/>
      <c r="L12" s="116" t="str">
        <f>IF('input for RPA'!I18="","",'input for RPA'!I18)</f>
        <v>Y</v>
      </c>
      <c r="M12" s="116" t="str">
        <f>IF('input for RPA'!J18="","",'input for RPA'!J18)</f>
        <v>N</v>
      </c>
      <c r="N12" s="116">
        <f>IF('input for RPA'!K18="","",'input for RPA'!K18)</f>
      </c>
      <c r="O12" s="116">
        <f>IF('input for RPA'!L18="","",'input for RPA'!L18)</f>
        <v>0.0086</v>
      </c>
      <c r="P12" s="116">
        <f t="shared" si="4"/>
      </c>
      <c r="Q12" s="12" t="str">
        <f t="shared" si="5"/>
        <v>B&lt;C, Step 7</v>
      </c>
      <c r="R12" s="116">
        <f>'input for RPA'!O18</f>
      </c>
      <c r="S12" s="383" t="str">
        <f t="shared" si="2"/>
        <v>Yes</v>
      </c>
      <c r="T12" s="146" t="str">
        <f t="shared" si="6"/>
        <v>MEC&gt;C</v>
      </c>
    </row>
    <row r="13" spans="1:20" ht="14.25">
      <c r="A13" s="9">
        <v>9</v>
      </c>
      <c r="B13" s="47" t="s">
        <v>138</v>
      </c>
      <c r="C13" s="101">
        <f>Criteria!C17</f>
        <v>7.1</v>
      </c>
      <c r="D13" s="116" t="str">
        <f>IF('input for RPA'!C19="","",'input for RPA'!C19)</f>
        <v>Y</v>
      </c>
      <c r="E13" s="116" t="str">
        <f>IF('input for RPA'!D19="","",'input for RPA'!D19)</f>
        <v>N</v>
      </c>
      <c r="F13" s="116">
        <f>IF('input for RPA'!E19="","",'input for RPA'!E19)</f>
      </c>
      <c r="G13" s="116">
        <f>IF('input for RPA'!F19="","",'input for RPA'!F19)</f>
        <v>5.23</v>
      </c>
      <c r="H13" s="12">
        <f t="shared" si="3"/>
      </c>
      <c r="I13" s="117">
        <f t="shared" si="0"/>
        <v>5.23</v>
      </c>
      <c r="J13" s="12" t="str">
        <f t="shared" si="1"/>
        <v>MEC&lt;C, go to Step 5</v>
      </c>
      <c r="K13" s="117"/>
      <c r="L13" s="116" t="str">
        <f>IF('input for RPA'!I19="","",'input for RPA'!I19)</f>
        <v>Y</v>
      </c>
      <c r="M13" s="116" t="str">
        <f>IF('input for RPA'!J19="","",'input for RPA'!J19)</f>
        <v>N</v>
      </c>
      <c r="N13" s="116">
        <f>IF('input for RPA'!K19="","",'input for RPA'!K19)</f>
      </c>
      <c r="O13" s="116">
        <f>IF('input for RPA'!L19="","",'input for RPA'!L19)</f>
        <v>3.7</v>
      </c>
      <c r="P13" s="116">
        <f t="shared" si="4"/>
      </c>
      <c r="Q13" s="12" t="str">
        <f t="shared" si="5"/>
        <v>B&lt;C, Step 7</v>
      </c>
      <c r="R13" s="116">
        <f>'input for RPA'!O19</f>
      </c>
      <c r="S13" s="145" t="str">
        <f t="shared" si="2"/>
        <v>No</v>
      </c>
      <c r="T13" s="146" t="str">
        <f t="shared" si="6"/>
        <v>MEC&lt;C &amp; B&lt;C</v>
      </c>
    </row>
    <row r="14" spans="1:20" ht="14.25">
      <c r="A14" s="9">
        <v>10</v>
      </c>
      <c r="B14" s="13" t="s">
        <v>142</v>
      </c>
      <c r="C14" s="101">
        <f>Criteria!C18</f>
        <v>5</v>
      </c>
      <c r="D14" s="116" t="str">
        <f>IF('input for RPA'!C20="","",'input for RPA'!C20)</f>
        <v>Y</v>
      </c>
      <c r="E14" s="116" t="str">
        <f>IF('input for RPA'!D20="","",'input for RPA'!D20)</f>
        <v>N</v>
      </c>
      <c r="F14" s="116">
        <f>IF('input for RPA'!E20="","",'input for RPA'!E20)</f>
      </c>
      <c r="G14" s="116">
        <f>IF('input for RPA'!F20="","",'input for RPA'!F20)</f>
        <v>1.07</v>
      </c>
      <c r="H14" s="12">
        <f t="shared" si="3"/>
      </c>
      <c r="I14" s="117">
        <f t="shared" si="0"/>
        <v>1.07</v>
      </c>
      <c r="J14" s="12" t="str">
        <f t="shared" si="1"/>
        <v>MEC&lt;C, go to Step 5</v>
      </c>
      <c r="K14" s="117"/>
      <c r="L14" s="116" t="str">
        <f>IF('input for RPA'!I20="","",'input for RPA'!I20)</f>
        <v>Y</v>
      </c>
      <c r="M14" s="116" t="str">
        <f>IF('input for RPA'!J20="","",'input for RPA'!J20)</f>
        <v>N</v>
      </c>
      <c r="N14" s="116">
        <f>IF('input for RPA'!K20="","",'input for RPA'!K20)</f>
      </c>
      <c r="O14" s="116">
        <f>IF('input for RPA'!L20="","",'input for RPA'!L20)</f>
        <v>0.39</v>
      </c>
      <c r="P14" s="116">
        <f t="shared" si="4"/>
      </c>
      <c r="Q14" s="12" t="str">
        <f t="shared" si="5"/>
        <v>B&lt;C, Step 7</v>
      </c>
      <c r="R14" s="116">
        <f>'input for RPA'!O20</f>
      </c>
      <c r="S14" s="145" t="str">
        <f t="shared" si="2"/>
        <v>No</v>
      </c>
      <c r="T14" s="146" t="str">
        <f t="shared" si="6"/>
        <v>MEC&lt;C &amp; B&lt;C</v>
      </c>
    </row>
    <row r="15" spans="1:20" ht="14.25">
      <c r="A15" s="9">
        <v>11</v>
      </c>
      <c r="B15" s="48" t="s">
        <v>139</v>
      </c>
      <c r="C15" s="101">
        <f>Criteria!C19</f>
        <v>2.3</v>
      </c>
      <c r="D15" s="116" t="str">
        <f>IF('input for RPA'!C21="","",'input for RPA'!C21)</f>
        <v>Y</v>
      </c>
      <c r="E15" s="116" t="str">
        <f>IF('input for RPA'!D21="","",'input for RPA'!D21)</f>
        <v>N</v>
      </c>
      <c r="F15" s="116">
        <f>IF('input for RPA'!E21="","",'input for RPA'!E21)</f>
      </c>
      <c r="G15" s="116">
        <f>IF('input for RPA'!F21="","",'input for RPA'!F21)</f>
        <v>3</v>
      </c>
      <c r="H15" s="12">
        <f t="shared" si="3"/>
      </c>
      <c r="I15" s="117">
        <f t="shared" si="0"/>
        <v>3</v>
      </c>
      <c r="J15" s="12" t="str">
        <f t="shared" si="1"/>
        <v>MEC&gt;=C, Effluent Limits Required</v>
      </c>
      <c r="K15" s="117"/>
      <c r="L15" s="116" t="str">
        <f>IF('input for RPA'!I21="","",'input for RPA'!I21)</f>
        <v>Y</v>
      </c>
      <c r="M15" s="116" t="str">
        <f>IF('input for RPA'!J21="","",'input for RPA'!J21)</f>
        <v>N</v>
      </c>
      <c r="N15" s="116">
        <f>IF('input for RPA'!K21="","",'input for RPA'!K21)</f>
      </c>
      <c r="O15" s="116">
        <f>IF('input for RPA'!L21="","",'input for RPA'!L21)</f>
        <v>0.0516</v>
      </c>
      <c r="P15" s="116">
        <f t="shared" si="4"/>
      </c>
      <c r="Q15" s="12" t="str">
        <f t="shared" si="5"/>
        <v>B&lt;C, Step 7</v>
      </c>
      <c r="R15" s="116">
        <f>'input for RPA'!O21</f>
      </c>
      <c r="S15" s="383" t="str">
        <f t="shared" si="2"/>
        <v>Yes</v>
      </c>
      <c r="T15" s="146" t="str">
        <f t="shared" si="6"/>
        <v>MEC&gt;C</v>
      </c>
    </row>
    <row r="16" spans="1:20" s="19" customFormat="1" ht="12.75">
      <c r="A16" s="9">
        <v>12</v>
      </c>
      <c r="B16" s="48" t="s">
        <v>27</v>
      </c>
      <c r="C16" s="101">
        <f>Criteria!C20</f>
        <v>6.3</v>
      </c>
      <c r="D16" s="147" t="str">
        <f>IF('input for RPA'!C22="","",'input for RPA'!C22)</f>
        <v>Y</v>
      </c>
      <c r="E16" s="147" t="str">
        <f>IF('input for RPA'!D22="","",'input for RPA'!D22)</f>
        <v>Y</v>
      </c>
      <c r="F16" s="147">
        <f>IF('input for RPA'!E22="","",'input for RPA'!E22)</f>
        <v>1</v>
      </c>
      <c r="G16" s="147">
        <f>IF('input for RPA'!F22="","",'input for RPA'!F22)</f>
      </c>
      <c r="H16" s="148" t="str">
        <f t="shared" si="3"/>
        <v>All ND, MDL&lt;C, MEC=MDL</v>
      </c>
      <c r="I16" s="149">
        <f t="shared" si="0"/>
        <v>1</v>
      </c>
      <c r="J16" s="148" t="str">
        <f t="shared" si="1"/>
        <v>MEC&lt;C, go to Step 5</v>
      </c>
      <c r="K16" s="149"/>
      <c r="L16" s="116" t="str">
        <f>IF('input for RPA'!I22="","",'input for RPA'!I22)</f>
        <v>Y</v>
      </c>
      <c r="M16" s="116" t="str">
        <f>IF('input for RPA'!J22="","",'input for RPA'!J22)</f>
        <v>N</v>
      </c>
      <c r="N16" s="116">
        <f>IF('input for RPA'!K22="","",'input for RPA'!K22)</f>
      </c>
      <c r="O16" s="116">
        <f>IF('input for RPA'!L22="","",'input for RPA'!L22)</f>
        <v>0.21</v>
      </c>
      <c r="P16" s="116">
        <f t="shared" si="4"/>
      </c>
      <c r="Q16" s="12" t="str">
        <f t="shared" si="5"/>
        <v>B&lt;C, Step 7</v>
      </c>
      <c r="R16" s="147">
        <f>'input for RPA'!O22</f>
      </c>
      <c r="S16" s="145" t="str">
        <f t="shared" si="2"/>
        <v>No</v>
      </c>
      <c r="T16" s="146" t="str">
        <f t="shared" si="6"/>
        <v>MEC&lt;C &amp; B&lt;C</v>
      </c>
    </row>
    <row r="17" spans="1:20" ht="14.25">
      <c r="A17" s="9">
        <v>13</v>
      </c>
      <c r="B17" s="13" t="s">
        <v>140</v>
      </c>
      <c r="C17" s="101">
        <f>Criteria!C21</f>
        <v>58</v>
      </c>
      <c r="D17" s="116" t="str">
        <f>IF('input for RPA'!C23="","",'input for RPA'!C23)</f>
        <v>Y</v>
      </c>
      <c r="E17" s="116" t="str">
        <f>IF('input for RPA'!D23="","",'input for RPA'!D23)</f>
        <v>N</v>
      </c>
      <c r="F17" s="116">
        <f>IF('input for RPA'!E23="","",'input for RPA'!E23)</f>
      </c>
      <c r="G17" s="116">
        <f>IF('input for RPA'!F23="","",'input for RPA'!F23)</f>
        <v>67.2</v>
      </c>
      <c r="H17" s="12">
        <f t="shared" si="3"/>
      </c>
      <c r="I17" s="117">
        <f t="shared" si="0"/>
        <v>67.2</v>
      </c>
      <c r="J17" s="12" t="str">
        <f t="shared" si="1"/>
        <v>MEC&gt;=C, Effluent Limits Required</v>
      </c>
      <c r="K17" s="117"/>
      <c r="L17" s="116" t="str">
        <f>IF('input for RPA'!I23="","",'input for RPA'!I23)</f>
        <v>Y</v>
      </c>
      <c r="M17" s="116" t="str">
        <f>IF('input for RPA'!J23="","",'input for RPA'!J23)</f>
        <v>N</v>
      </c>
      <c r="N17" s="116">
        <f>IF('input for RPA'!K23="","",'input for RPA'!K23)</f>
      </c>
      <c r="O17" s="116">
        <f>IF('input for RPA'!L23="","",'input for RPA'!L23)</f>
        <v>4.4</v>
      </c>
      <c r="P17" s="116">
        <f t="shared" si="4"/>
      </c>
      <c r="Q17" s="12" t="str">
        <f t="shared" si="5"/>
        <v>B&lt;C, Step 7</v>
      </c>
      <c r="R17" s="116">
        <f>'input for RPA'!O23</f>
      </c>
      <c r="S17" s="383" t="str">
        <f t="shared" si="2"/>
        <v>Yes</v>
      </c>
      <c r="T17" s="146" t="str">
        <f t="shared" si="6"/>
        <v>MEC&gt;C</v>
      </c>
    </row>
    <row r="18" spans="1:20" ht="14.25">
      <c r="A18" s="9">
        <v>14</v>
      </c>
      <c r="B18" s="13" t="s">
        <v>141</v>
      </c>
      <c r="C18" s="101">
        <f>Criteria!C22</f>
        <v>1</v>
      </c>
      <c r="D18" s="116" t="str">
        <f>IF('input for RPA'!C24="","",'input for RPA'!C24)</f>
        <v>Y</v>
      </c>
      <c r="E18" s="116" t="str">
        <f>IF('input for RPA'!D24="","",'input for RPA'!D24)</f>
        <v>N</v>
      </c>
      <c r="F18" s="116">
        <f>IF('input for RPA'!E24="","",'input for RPA'!E24)</f>
      </c>
      <c r="G18" s="116">
        <f>IF('input for RPA'!F24="","",'input for RPA'!F24)</f>
        <v>2.6</v>
      </c>
      <c r="H18" s="12">
        <f t="shared" si="3"/>
      </c>
      <c r="I18" s="117">
        <f t="shared" si="0"/>
        <v>2.6</v>
      </c>
      <c r="J18" s="12" t="str">
        <f t="shared" si="1"/>
        <v>MEC&gt;=C, Effluent Limits Required</v>
      </c>
      <c r="K18" s="117"/>
      <c r="L18" s="116" t="str">
        <f>IF('input for RPA'!I24="","",'input for RPA'!I24)</f>
        <v>Y</v>
      </c>
      <c r="M18" s="116" t="str">
        <f>IF('input for RPA'!J24="","",'input for RPA'!J24)</f>
        <v>Y</v>
      </c>
      <c r="N18" s="116">
        <f>IF('input for RPA'!K24="","",'input for RPA'!K24)</f>
        <v>0.4</v>
      </c>
      <c r="O18" s="116">
        <f>IF('input for RPA'!L24="","",'input for RPA'!L24)</f>
      </c>
      <c r="P18" s="116" t="str">
        <f t="shared" si="4"/>
        <v>N</v>
      </c>
      <c r="Q18" s="12" t="str">
        <f t="shared" si="5"/>
        <v>No detected value of B, Step 7</v>
      </c>
      <c r="R18" s="116">
        <f>'input for RPA'!O24</f>
      </c>
      <c r="S18" s="383" t="str">
        <f t="shared" si="2"/>
        <v>Yes</v>
      </c>
      <c r="T18" s="146" t="str">
        <f t="shared" si="6"/>
        <v>MEC&gt;C</v>
      </c>
    </row>
    <row r="19" spans="1:20" ht="12.75">
      <c r="A19" s="9">
        <v>15</v>
      </c>
      <c r="B19" s="10" t="s">
        <v>28</v>
      </c>
      <c r="C19" s="99" t="str">
        <f>Criteria!C23</f>
        <v>No Criteria</v>
      </c>
      <c r="D19" s="116" t="str">
        <f>IF('input for RPA'!C25="","",'input for RPA'!C25)</f>
        <v>N</v>
      </c>
      <c r="E19" s="116">
        <f>IF('input for RPA'!D25="","",'input for RPA'!D25)</f>
      </c>
      <c r="F19" s="116">
        <f>IF('input for RPA'!E25="","",'input for RPA'!E25)</f>
      </c>
      <c r="G19" s="116">
        <f>IF('input for RPA'!F25="","",'input for RPA'!F25)</f>
      </c>
      <c r="H19" s="12" t="str">
        <f t="shared" si="3"/>
        <v>No Criteria</v>
      </c>
      <c r="I19" s="117" t="str">
        <f t="shared" si="0"/>
        <v>No Criteria</v>
      </c>
      <c r="J19" s="12" t="str">
        <f t="shared" si="1"/>
        <v>No Criteria</v>
      </c>
      <c r="K19" s="117"/>
      <c r="L19" s="116" t="str">
        <f>IF('input for RPA'!I25="","",'input for RPA'!I25)</f>
        <v>N</v>
      </c>
      <c r="M19" s="116">
        <f>IF('input for RPA'!J25="","",'input for RPA'!J25)</f>
      </c>
      <c r="N19" s="116">
        <f>IF('input for RPA'!K25="","",'input for RPA'!K25)</f>
      </c>
      <c r="O19" s="116">
        <f>IF('input for RPA'!L25="","",'input for RPA'!L25)</f>
      </c>
      <c r="P19" s="116">
        <f t="shared" si="4"/>
      </c>
      <c r="Q19" s="12" t="str">
        <f t="shared" si="5"/>
        <v>No Criteria</v>
      </c>
      <c r="R19" s="116" t="str">
        <f>'input for RPA'!O25</f>
        <v>No Criteria</v>
      </c>
      <c r="S19" s="145" t="str">
        <f t="shared" si="2"/>
        <v>Uo</v>
      </c>
      <c r="T19" s="146" t="str">
        <f t="shared" si="6"/>
        <v>No Criteria</v>
      </c>
    </row>
    <row r="20" spans="1:20" ht="12.75">
      <c r="A20" s="15">
        <v>16</v>
      </c>
      <c r="B20" s="16" t="s">
        <v>29</v>
      </c>
      <c r="C20" s="103">
        <f>Criteria!C24</f>
        <v>1.4E-08</v>
      </c>
      <c r="D20" s="116" t="str">
        <f>IF('input for RPA'!C26="","",'input for RPA'!C26)</f>
        <v>Y</v>
      </c>
      <c r="E20" s="116" t="str">
        <f>IF('input for RPA'!D26="","",'input for RPA'!D26)</f>
        <v>Y</v>
      </c>
      <c r="F20" s="116">
        <f>IF('input for RPA'!E26="","",'input for RPA'!E26)</f>
        <v>9.5E-07</v>
      </c>
      <c r="G20" s="116">
        <f>IF('input for RPA'!F26="","",'input for RPA'!F26)</f>
      </c>
      <c r="H20" s="12" t="str">
        <f t="shared" si="3"/>
        <v>All ND, MinDL&gt;C, Go to Step 5, &amp; IM</v>
      </c>
      <c r="I20" s="117">
        <f t="shared" si="0"/>
      </c>
      <c r="J20" s="12">
        <f t="shared" si="1"/>
      </c>
      <c r="K20" s="117"/>
      <c r="L20" s="116" t="str">
        <f>IF('input for RPA'!I26="","",'input for RPA'!I26)</f>
        <v>Y</v>
      </c>
      <c r="M20" s="116" t="str">
        <f>IF('input for RPA'!J26="","",'input for RPA'!J26)</f>
        <v>Y</v>
      </c>
      <c r="N20" s="116">
        <f>IF('input for RPA'!K26="","",'input for RPA'!K26)</f>
        <v>1E-09</v>
      </c>
      <c r="O20" s="116"/>
      <c r="P20" s="116" t="str">
        <f t="shared" si="4"/>
        <v>N</v>
      </c>
      <c r="Q20" s="12" t="str">
        <f t="shared" si="5"/>
        <v>No detected value of B, Step 7</v>
      </c>
      <c r="R20" s="116">
        <f>'input for RPA'!O26</f>
      </c>
      <c r="S20" s="145" t="str">
        <f t="shared" si="2"/>
        <v>No</v>
      </c>
      <c r="T20" s="146" t="str">
        <f t="shared" si="6"/>
        <v>UD; effluent data and B are ND</v>
      </c>
    </row>
    <row r="21" spans="1:20" ht="12.75">
      <c r="A21" s="15"/>
      <c r="B21" s="16" t="s">
        <v>510</v>
      </c>
      <c r="C21" s="103">
        <f>Criteria!C25</f>
        <v>1.4E-08</v>
      </c>
      <c r="D21" s="116" t="str">
        <f>IF('input for RPA'!C27="","",'input for RPA'!C27)</f>
        <v>Y</v>
      </c>
      <c r="E21" s="116" t="str">
        <f>IF('input for RPA'!D27="","",'input for RPA'!D27)</f>
        <v>Y</v>
      </c>
      <c r="F21" s="116">
        <f>IF('input for RPA'!E27="","",'input for RPA'!E27)</f>
        <v>9.5E-07</v>
      </c>
      <c r="G21" s="116">
        <f>IF('input for RPA'!F27="","",'input for RPA'!F27)</f>
      </c>
      <c r="H21" s="12" t="str">
        <f>IF(C21="No Criteria","No Criteria",IF(D21="N","No effluent data",IF(E21="N","",IF(F21&lt;C21,"All ND, MDL&lt;C, MEC=MDL","All ND, MinDL&gt;C, Go to Step 5, &amp; IM"))))</f>
        <v>All ND, MinDL&gt;C, Go to Step 5, &amp; IM</v>
      </c>
      <c r="I21" s="117">
        <f>IF(C21="No Criteria","No Criteria",IF(D21="N","",IF(E21="N",G21,IF(H21="All ND, MDL&lt;C, MEC=MDL",F21,""))))</f>
      </c>
      <c r="J21" s="12">
        <f>IF(C21="No Criteria","No Criteria",IF(I21="","",IF(I21&gt;=C21,"MEC&gt;=C, Effluent Limits Required","MEC&lt;C, go to Step 5")))</f>
      </c>
      <c r="K21" s="117"/>
      <c r="L21" s="116" t="str">
        <f>IF('input for RPA'!I27="","",'input for RPA'!I27)</f>
        <v>Y</v>
      </c>
      <c r="M21" s="116" t="str">
        <f>IF('input for RPA'!J27="","",'input for RPA'!J27)</f>
        <v>N</v>
      </c>
      <c r="N21" s="116">
        <f>IF('input for RPA'!K27="","",'input for RPA'!K27)</f>
      </c>
      <c r="O21" s="116">
        <f>IF('input for RPA'!L27="","",'input for RPA'!L27)</f>
        <v>7.1E-08</v>
      </c>
      <c r="P21" s="116">
        <f>IF(N21="","",IF(N21&gt;C21,"Y","N"))</f>
      </c>
      <c r="Q21" s="12" t="str">
        <f>IF(C21="No Criteria","No Criteria",IF(O21="","No detected value of B, Step 7",IF(O21&gt;C21,"B&gt;C, Effluent Limit Required","B&lt;C, Step 7")))</f>
        <v>B&gt;C, Effluent Limit Required</v>
      </c>
      <c r="R21" s="116"/>
      <c r="S21" s="383" t="str">
        <f>IF(C21="No Criteria","Uo",IF(D21="N",IF(L21="N","Ud",IF(M21="Y","No",IF(O21&gt;C21,"Yes","Ud"))),IF(H21="All ND, MinDL&gt;C, Go to Step 5, &amp; IM",IF(L21="N","No",IF(M21="Y","No",IF(O21&gt;C21,"Yes","No"))),IF(I21="No Criteria","Uo",IF(I21&gt;C21,"Yes",IF(M21="N",IF(O21&gt;C21,"Yes","No"),"No"))))))</f>
        <v>Yes</v>
      </c>
      <c r="T21" s="146" t="str">
        <f>IF(C21="No Criteria","No Criteria",IF(D21="N",IF(L21="N","no effluent data &amp; no B",IF(M21="Y","Ud, no effluent data &amp; B is ND",IF(O21&gt;C21,"B&gt;C","no effluent data &amp; B&lt;C"))),IF(H21="All ND, MinDL&gt;C, Go to Step 5, &amp; IM",IF(L21="N","MDL&gt;C &amp; No B",IF(M21="Y","UD; effluent data and B are ND",IF(O21&gt;C21,"B&gt;C","UD; effluent data ND, MDL&gt;C &amp; B&lt;C"))),IF(I21="No Criteria","No Criteria",IF(I21&gt;C21,"MEC&gt;C",IF(M21="N",IF(O21&gt;C21,"B&gt;C","MEC&lt;C &amp; B&lt;C"),"Ud;MEC&lt;C &amp; B is ND"))))))</f>
        <v>B&gt;C</v>
      </c>
    </row>
    <row r="22" spans="1:20" s="19" customFormat="1" ht="12.75">
      <c r="A22" s="9">
        <v>17</v>
      </c>
      <c r="B22" s="48" t="s">
        <v>30</v>
      </c>
      <c r="C22" s="99">
        <f>Criteria!C26</f>
        <v>780</v>
      </c>
      <c r="D22" s="147" t="str">
        <f>IF('input for RPA'!C28="","",'input for RPA'!C28)</f>
        <v>N</v>
      </c>
      <c r="E22" s="147">
        <f>IF('input for RPA'!D28="","",'input for RPA'!D28)</f>
      </c>
      <c r="F22" s="147">
        <f>IF('input for RPA'!E28="","",'input for RPA'!E28)</f>
      </c>
      <c r="G22" s="147">
        <f>IF('input for RPA'!F28="","",'input for RPA'!F28)</f>
      </c>
      <c r="H22" s="148" t="str">
        <f t="shared" si="3"/>
        <v>No effluent data</v>
      </c>
      <c r="I22" s="149">
        <f t="shared" si="0"/>
      </c>
      <c r="J22" s="148">
        <f t="shared" si="1"/>
      </c>
      <c r="K22" s="149"/>
      <c r="L22" s="116" t="str">
        <f>IF('input for RPA'!I28="","",'input for RPA'!I28)</f>
        <v>Y</v>
      </c>
      <c r="M22" s="116" t="str">
        <f>IF('input for RPA'!J28="","",'input for RPA'!J28)</f>
        <v>Y</v>
      </c>
      <c r="N22" s="116">
        <f>IF('input for RPA'!K28="","",'input for RPA'!K28)</f>
        <v>0.5</v>
      </c>
      <c r="O22" s="116">
        <f>IF('input for RPA'!L28="","",'input for RPA'!L28)</f>
      </c>
      <c r="P22" s="116" t="str">
        <f t="shared" si="4"/>
        <v>N</v>
      </c>
      <c r="Q22" s="12" t="str">
        <f t="shared" si="5"/>
        <v>No detected value of B, Step 7</v>
      </c>
      <c r="R22" s="147">
        <f>'input for RPA'!O28</f>
      </c>
      <c r="S22" s="145" t="str">
        <f t="shared" si="2"/>
        <v>No</v>
      </c>
      <c r="T22" s="146" t="str">
        <f t="shared" si="6"/>
        <v>Ud, no effluent data &amp; B is ND</v>
      </c>
    </row>
    <row r="23" spans="1:20" s="19" customFormat="1" ht="12.75">
      <c r="A23" s="9">
        <v>18</v>
      </c>
      <c r="B23" s="48" t="s">
        <v>31</v>
      </c>
      <c r="C23" s="101">
        <f>Criteria!C27</f>
        <v>0.66</v>
      </c>
      <c r="D23" s="147" t="str">
        <f>IF('input for RPA'!C29="","",'input for RPA'!C29)</f>
        <v>N</v>
      </c>
      <c r="E23" s="147">
        <f>IF('input for RPA'!D29="","",'input for RPA'!D29)</f>
      </c>
      <c r="F23" s="147">
        <f>IF('input for RPA'!E29="","",'input for RPA'!E29)</f>
      </c>
      <c r="G23" s="147">
        <f>IF('input for RPA'!F29="","",'input for RPA'!F29)</f>
      </c>
      <c r="H23" s="148" t="str">
        <f t="shared" si="3"/>
        <v>No effluent data</v>
      </c>
      <c r="I23" s="149">
        <f t="shared" si="0"/>
      </c>
      <c r="J23" s="148">
        <f t="shared" si="1"/>
      </c>
      <c r="K23" s="149"/>
      <c r="L23" s="116" t="str">
        <f>IF('input for RPA'!I29="","",'input for RPA'!I29)</f>
        <v>Y</v>
      </c>
      <c r="M23" s="116" t="str">
        <f>IF('input for RPA'!J29="","",'input for RPA'!J29)</f>
        <v>N</v>
      </c>
      <c r="N23" s="116">
        <f>IF('input for RPA'!K29="","",'input for RPA'!K29)</f>
      </c>
      <c r="O23" s="116">
        <f>IF('input for RPA'!L29="","",'input for RPA'!L29)</f>
        <v>0.03</v>
      </c>
      <c r="P23" s="116">
        <f t="shared" si="4"/>
      </c>
      <c r="Q23" s="12" t="str">
        <f t="shared" si="5"/>
        <v>B&lt;C, Step 7</v>
      </c>
      <c r="R23" s="147">
        <f>'input for RPA'!O29</f>
      </c>
      <c r="S23" s="145" t="str">
        <f t="shared" si="2"/>
        <v>Ud</v>
      </c>
      <c r="T23" s="146" t="str">
        <f t="shared" si="6"/>
        <v>no effluent data &amp; B&lt;C</v>
      </c>
    </row>
    <row r="24" spans="1:20" s="19" customFormat="1" ht="12.75">
      <c r="A24" s="9">
        <v>19</v>
      </c>
      <c r="B24" s="48" t="s">
        <v>32</v>
      </c>
      <c r="C24" s="99">
        <f>Criteria!C28</f>
        <v>71</v>
      </c>
      <c r="D24" s="147" t="str">
        <f>IF('input for RPA'!C30="","",'input for RPA'!C30)</f>
        <v>Y</v>
      </c>
      <c r="E24" s="147" t="str">
        <f>IF('input for RPA'!D30="","",'input for RPA'!D30)</f>
        <v>Y</v>
      </c>
      <c r="F24" s="147">
        <f>IF('input for RPA'!E30="","",'input for RPA'!E30)</f>
        <v>1</v>
      </c>
      <c r="G24" s="147">
        <f>IF('input for RPA'!F30="","",'input for RPA'!F30)</f>
      </c>
      <c r="H24" s="148" t="str">
        <f t="shared" si="3"/>
        <v>All ND, MDL&lt;C, MEC=MDL</v>
      </c>
      <c r="I24" s="149">
        <f t="shared" si="0"/>
        <v>1</v>
      </c>
      <c r="J24" s="148" t="str">
        <f t="shared" si="1"/>
        <v>MEC&lt;C, go to Step 5</v>
      </c>
      <c r="K24" s="149"/>
      <c r="L24" s="116" t="str">
        <f>IF('input for RPA'!I30="","",'input for RPA'!I30)</f>
        <v>Y</v>
      </c>
      <c r="M24" s="116" t="str">
        <f>IF('input for RPA'!J30="","",'input for RPA'!J30)</f>
        <v>Y</v>
      </c>
      <c r="N24" s="116">
        <f>IF('input for RPA'!K30="","",'input for RPA'!K30)</f>
        <v>0.05</v>
      </c>
      <c r="O24" s="116">
        <f>IF('input for RPA'!L30="","",'input for RPA'!L30)</f>
      </c>
      <c r="P24" s="116" t="str">
        <f t="shared" si="4"/>
        <v>N</v>
      </c>
      <c r="Q24" s="12" t="str">
        <f t="shared" si="5"/>
        <v>No detected value of B, Step 7</v>
      </c>
      <c r="R24" s="147">
        <f>'input for RPA'!O30</f>
      </c>
      <c r="S24" s="145" t="str">
        <f>IF(C24="No Criteria","Uo",IF(D24="N",IF(L24="N","Ud",IF(M24="Y","No",IF(O24&gt;C24,"Yes","Ud"))),IF(H24="All ND, MinDL&gt;C, Go to Step 5, &amp; IM",IF(L24="N","No",IF(M24="Y","No",IF(O24&gt;C24,"Yes","No"))),IF(I24="No Criteria","Uo",IF(I24&gt;C24,"Yes",IF(M24="N",IF(O24&gt;C24,"Yes","No"),"No"))))))</f>
        <v>No</v>
      </c>
      <c r="T24" s="146" t="str">
        <f t="shared" si="6"/>
        <v>Ud;MEC&lt;C &amp; B is ND</v>
      </c>
    </row>
    <row r="25" spans="1:20" ht="12.75">
      <c r="A25" s="9">
        <v>20</v>
      </c>
      <c r="B25" s="10" t="s">
        <v>33</v>
      </c>
      <c r="C25" s="99">
        <f>Criteria!C29</f>
        <v>360</v>
      </c>
      <c r="D25" s="116" t="str">
        <f>IF('input for RPA'!C31="","",'input for RPA'!C31)</f>
        <v>N</v>
      </c>
      <c r="E25" s="116">
        <f>IF('input for RPA'!D31="","",'input for RPA'!D31)</f>
      </c>
      <c r="F25" s="116">
        <f>IF('input for RPA'!E31="","",'input for RPA'!E31)</f>
      </c>
      <c r="G25" s="116">
        <f>IF('input for RPA'!F31="","",'input for RPA'!F31)</f>
      </c>
      <c r="H25" s="12" t="str">
        <f t="shared" si="3"/>
        <v>No effluent data</v>
      </c>
      <c r="I25" s="117">
        <f t="shared" si="0"/>
      </c>
      <c r="J25" s="12">
        <f t="shared" si="1"/>
      </c>
      <c r="K25" s="117"/>
      <c r="L25" s="116" t="str">
        <f>IF('input for RPA'!I31="","",'input for RPA'!I31)</f>
        <v>Y</v>
      </c>
      <c r="M25" s="116" t="str">
        <f>IF('input for RPA'!J31="","",'input for RPA'!J31)</f>
        <v>Y</v>
      </c>
      <c r="N25" s="116">
        <f>IF('input for RPA'!K31="","",'input for RPA'!K31)</f>
        <v>0.5</v>
      </c>
      <c r="O25" s="116">
        <f>IF('input for RPA'!L31="","",'input for RPA'!L31)</f>
      </c>
      <c r="P25" s="116" t="str">
        <f t="shared" si="4"/>
        <v>N</v>
      </c>
      <c r="Q25" s="12" t="str">
        <f t="shared" si="5"/>
        <v>No detected value of B, Step 7</v>
      </c>
      <c r="R25" s="116">
        <f>'input for RPA'!O31</f>
      </c>
      <c r="S25" s="145" t="str">
        <f t="shared" si="2"/>
        <v>No</v>
      </c>
      <c r="T25" s="146" t="str">
        <f t="shared" si="6"/>
        <v>Ud, no effluent data &amp; B is ND</v>
      </c>
    </row>
    <row r="26" spans="1:20" ht="12.75">
      <c r="A26" s="9">
        <v>21</v>
      </c>
      <c r="B26" s="10" t="s">
        <v>34</v>
      </c>
      <c r="C26" s="104">
        <f>Criteria!C30</f>
        <v>4.4</v>
      </c>
      <c r="D26" s="116" t="str">
        <f>IF('input for RPA'!C32="","",'input for RPA'!C32)</f>
        <v>N</v>
      </c>
      <c r="E26" s="116">
        <f>IF('input for RPA'!D32="","",'input for RPA'!D32)</f>
      </c>
      <c r="F26" s="116">
        <f>IF('input for RPA'!E32="","",'input for RPA'!E32)</f>
      </c>
      <c r="G26" s="116">
        <f>IF('input for RPA'!F32="","",'input for RPA'!F32)</f>
      </c>
      <c r="H26" s="12" t="str">
        <f t="shared" si="3"/>
        <v>No effluent data</v>
      </c>
      <c r="I26" s="117">
        <f t="shared" si="0"/>
      </c>
      <c r="J26" s="12">
        <f t="shared" si="1"/>
      </c>
      <c r="K26" s="117"/>
      <c r="L26" s="116" t="str">
        <f>IF('input for RPA'!I32="","",'input for RPA'!I32)</f>
        <v>Y</v>
      </c>
      <c r="M26" s="116" t="str">
        <f>IF('input for RPA'!J32="","",'input for RPA'!J32)</f>
        <v>N</v>
      </c>
      <c r="N26" s="116">
        <f>IF('input for RPA'!K32="","",'input for RPA'!K32)</f>
      </c>
      <c r="O26" s="116">
        <f>IF('input for RPA'!L32="","",'input for RPA'!L32)</f>
        <v>0.06</v>
      </c>
      <c r="P26" s="116">
        <f t="shared" si="4"/>
      </c>
      <c r="Q26" s="12" t="str">
        <f t="shared" si="5"/>
        <v>B&lt;C, Step 7</v>
      </c>
      <c r="R26" s="116">
        <f>'input for RPA'!O32</f>
      </c>
      <c r="S26" s="145" t="str">
        <f t="shared" si="2"/>
        <v>Ud</v>
      </c>
      <c r="T26" s="146" t="str">
        <f t="shared" si="6"/>
        <v>no effluent data &amp; B&lt;C</v>
      </c>
    </row>
    <row r="27" spans="1:20" ht="12.75">
      <c r="A27" s="9">
        <v>22</v>
      </c>
      <c r="B27" s="10" t="s">
        <v>35</v>
      </c>
      <c r="C27" s="99">
        <f>Criteria!C31</f>
        <v>21000</v>
      </c>
      <c r="D27" s="116" t="str">
        <f>IF('input for RPA'!C33="","",'input for RPA'!C33)</f>
        <v>N</v>
      </c>
      <c r="E27" s="116">
        <f>IF('input for RPA'!D33="","",'input for RPA'!D33)</f>
      </c>
      <c r="F27" s="116">
        <f>IF('input for RPA'!E33="","",'input for RPA'!E33)</f>
      </c>
      <c r="G27" s="116">
        <f>IF('input for RPA'!F33="","",'input for RPA'!F33)</f>
      </c>
      <c r="H27" s="12" t="str">
        <f t="shared" si="3"/>
        <v>No effluent data</v>
      </c>
      <c r="I27" s="117">
        <f t="shared" si="0"/>
      </c>
      <c r="J27" s="12">
        <f t="shared" si="1"/>
      </c>
      <c r="K27" s="117"/>
      <c r="L27" s="116" t="str">
        <f>IF('input for RPA'!I33="","",'input for RPA'!I33)</f>
        <v>Y</v>
      </c>
      <c r="M27" s="116" t="str">
        <f>IF('input for RPA'!J33="","",'input for RPA'!J33)</f>
        <v>Y</v>
      </c>
      <c r="N27" s="116">
        <f>IF('input for RPA'!K33="","",'input for RPA'!K33)</f>
        <v>0.5</v>
      </c>
      <c r="O27" s="116">
        <f>IF('input for RPA'!L33="","",'input for RPA'!L33)</f>
      </c>
      <c r="P27" s="116" t="str">
        <f t="shared" si="4"/>
        <v>N</v>
      </c>
      <c r="Q27" s="12" t="str">
        <f t="shared" si="5"/>
        <v>No detected value of B, Step 7</v>
      </c>
      <c r="R27" s="116">
        <f>'input for RPA'!O33</f>
      </c>
      <c r="S27" s="145" t="str">
        <f t="shared" si="2"/>
        <v>No</v>
      </c>
      <c r="T27" s="146" t="str">
        <f t="shared" si="6"/>
        <v>Ud, no effluent data &amp; B is ND</v>
      </c>
    </row>
    <row r="28" spans="1:20" ht="12.75">
      <c r="A28" s="9">
        <v>23</v>
      </c>
      <c r="B28" s="10" t="s">
        <v>36</v>
      </c>
      <c r="C28" s="99">
        <f>Criteria!C32</f>
        <v>34</v>
      </c>
      <c r="D28" s="116" t="str">
        <f>IF('input for RPA'!C34="","",'input for RPA'!C34)</f>
        <v>N</v>
      </c>
      <c r="E28" s="116">
        <f>IF('input for RPA'!D34="","",'input for RPA'!D34)</f>
      </c>
      <c r="F28" s="116">
        <f>IF('input for RPA'!E34="","",'input for RPA'!E34)</f>
      </c>
      <c r="G28" s="116">
        <f>IF('input for RPA'!F34="","",'input for RPA'!F34)</f>
      </c>
      <c r="H28" s="12" t="str">
        <f t="shared" si="3"/>
        <v>No effluent data</v>
      </c>
      <c r="I28" s="117">
        <f t="shared" si="0"/>
      </c>
      <c r="J28" s="12">
        <f t="shared" si="1"/>
      </c>
      <c r="K28" s="117"/>
      <c r="L28" s="116" t="str">
        <f>IF('input for RPA'!I34="","",'input for RPA'!I34)</f>
        <v>Y</v>
      </c>
      <c r="M28" s="116" t="str">
        <f>IF('input for RPA'!J34="","",'input for RPA'!J34)</f>
        <v>Y</v>
      </c>
      <c r="N28" s="116">
        <f>IF('input for RPA'!K34="","",'input for RPA'!K34)</f>
        <v>0.05</v>
      </c>
      <c r="O28" s="116">
        <f>IF('input for RPA'!L34="","",'input for RPA'!L34)</f>
      </c>
      <c r="P28" s="116" t="str">
        <f t="shared" si="4"/>
        <v>N</v>
      </c>
      <c r="Q28" s="12" t="str">
        <f t="shared" si="5"/>
        <v>No detected value of B, Step 7</v>
      </c>
      <c r="R28" s="116">
        <f>'input for RPA'!O34</f>
      </c>
      <c r="S28" s="145" t="str">
        <f aca="true" t="shared" si="7" ref="S28:S88">IF(C28="No Criteria","Uo",IF(D28="N",IF(L28="N","Ud",IF(M28="Y","No",IF(O28&gt;C28,"Yes","Ud"))),IF(H28="All ND, MinDL&gt;C, Go to Step 5, &amp; IM",IF(L28="N","No",IF(M28="Y","No",IF(O28&gt;C28,"Yes","No"))),IF(I28="No Criteria","Uo",IF(I28&gt;C28,"Yes",IF(M28="N",IF(O28&gt;C28,"Yes","No"),"No"))))))</f>
        <v>No</v>
      </c>
      <c r="T28" s="146" t="str">
        <f t="shared" si="6"/>
        <v>Ud, no effluent data &amp; B is ND</v>
      </c>
    </row>
    <row r="29" spans="1:20" ht="12.75">
      <c r="A29" s="9">
        <v>24</v>
      </c>
      <c r="B29" s="10" t="s">
        <v>37</v>
      </c>
      <c r="C29" s="99" t="str">
        <f>Criteria!C33</f>
        <v>No Criteria</v>
      </c>
      <c r="D29" s="116" t="str">
        <f>IF('input for RPA'!C35="","",'input for RPA'!C35)</f>
        <v>N</v>
      </c>
      <c r="E29" s="116">
        <f>IF('input for RPA'!D35="","",'input for RPA'!D35)</f>
      </c>
      <c r="F29" s="116">
        <f>IF('input for RPA'!E35="","",'input for RPA'!E35)</f>
      </c>
      <c r="G29" s="116">
        <f>IF('input for RPA'!F35="","",'input for RPA'!F35)</f>
      </c>
      <c r="H29" s="12" t="str">
        <f t="shared" si="3"/>
        <v>No Criteria</v>
      </c>
      <c r="I29" s="117" t="str">
        <f t="shared" si="0"/>
        <v>No Criteria</v>
      </c>
      <c r="J29" s="12" t="str">
        <f t="shared" si="1"/>
        <v>No Criteria</v>
      </c>
      <c r="K29" s="117"/>
      <c r="L29" s="116" t="str">
        <f>IF('input for RPA'!I35="","",'input for RPA'!I35)</f>
        <v>Y</v>
      </c>
      <c r="M29" s="116" t="str">
        <f>IF('input for RPA'!J35="","",'input for RPA'!J35)</f>
        <v>Y</v>
      </c>
      <c r="N29" s="116">
        <f>IF('input for RPA'!K35="","",'input for RPA'!K35)</f>
        <v>0.5</v>
      </c>
      <c r="O29" s="116">
        <f>IF('input for RPA'!L35="","",'input for RPA'!L35)</f>
      </c>
      <c r="P29" s="116" t="str">
        <f t="shared" si="4"/>
        <v>N</v>
      </c>
      <c r="Q29" s="12" t="str">
        <f t="shared" si="5"/>
        <v>No Criteria</v>
      </c>
      <c r="R29" s="116" t="str">
        <f>'input for RPA'!O35</f>
        <v>No Criteria</v>
      </c>
      <c r="S29" s="145" t="str">
        <f t="shared" si="7"/>
        <v>Uo</v>
      </c>
      <c r="T29" s="146" t="str">
        <f t="shared" si="6"/>
        <v>No Criteria</v>
      </c>
    </row>
    <row r="30" spans="1:20" ht="12.75">
      <c r="A30" s="9">
        <v>25</v>
      </c>
      <c r="B30" s="10" t="s">
        <v>38</v>
      </c>
      <c r="C30" s="99" t="str">
        <f>Criteria!C34</f>
        <v>No Criteria</v>
      </c>
      <c r="D30" s="116" t="str">
        <f>IF('input for RPA'!C36="","",'input for RPA'!C36)</f>
        <v>N</v>
      </c>
      <c r="E30" s="116">
        <f>IF('input for RPA'!D36="","",'input for RPA'!D36)</f>
      </c>
      <c r="F30" s="116">
        <f>IF('input for RPA'!E36="","",'input for RPA'!E36)</f>
      </c>
      <c r="G30" s="116">
        <f>IF('input for RPA'!F36="","",'input for RPA'!F36)</f>
      </c>
      <c r="H30" s="12" t="str">
        <f t="shared" si="3"/>
        <v>No Criteria</v>
      </c>
      <c r="I30" s="117" t="str">
        <f t="shared" si="0"/>
        <v>No Criteria</v>
      </c>
      <c r="J30" s="12" t="str">
        <f t="shared" si="1"/>
        <v>No Criteria</v>
      </c>
      <c r="K30" s="117"/>
      <c r="L30" s="116" t="str">
        <f>IF('input for RPA'!I36="","",'input for RPA'!I36)</f>
        <v>Y</v>
      </c>
      <c r="M30" s="116" t="str">
        <f>IF('input for RPA'!J36="","",'input for RPA'!J36)</f>
        <v>Y</v>
      </c>
      <c r="N30" s="116">
        <f>IF('input for RPA'!K36="","",'input for RPA'!K36)</f>
        <v>0.5</v>
      </c>
      <c r="O30" s="116">
        <f>IF('input for RPA'!L36="","",'input for RPA'!L36)</f>
      </c>
      <c r="P30" s="116" t="str">
        <f t="shared" si="4"/>
        <v>N</v>
      </c>
      <c r="Q30" s="12" t="str">
        <f t="shared" si="5"/>
        <v>No Criteria</v>
      </c>
      <c r="R30" s="116" t="str">
        <f>'input for RPA'!O36</f>
        <v>No Criteria</v>
      </c>
      <c r="S30" s="145" t="str">
        <f t="shared" si="7"/>
        <v>Uo</v>
      </c>
      <c r="T30" s="146" t="str">
        <f t="shared" si="6"/>
        <v>No Criteria</v>
      </c>
    </row>
    <row r="31" spans="1:20" ht="12.75">
      <c r="A31" s="9">
        <v>26</v>
      </c>
      <c r="B31" s="10" t="s">
        <v>39</v>
      </c>
      <c r="C31" s="99" t="str">
        <f>Criteria!C35</f>
        <v>No Criteria</v>
      </c>
      <c r="D31" s="116" t="str">
        <f>IF('input for RPA'!C37="","",'input for RPA'!C37)</f>
        <v>Y</v>
      </c>
      <c r="E31" s="116" t="str">
        <f>IF('input for RPA'!D37="","",'input for RPA'!D37)</f>
        <v>N</v>
      </c>
      <c r="F31" s="116">
        <f>IF('input for RPA'!E37="","",'input for RPA'!E37)</f>
      </c>
      <c r="G31" s="116">
        <f>IF('input for RPA'!F37="","",'input for RPA'!F37)</f>
        <v>5.8</v>
      </c>
      <c r="H31" s="12" t="str">
        <f t="shared" si="3"/>
        <v>No Criteria</v>
      </c>
      <c r="I31" s="117" t="str">
        <f t="shared" si="0"/>
        <v>No Criteria</v>
      </c>
      <c r="J31" s="12" t="str">
        <f t="shared" si="1"/>
        <v>No Criteria</v>
      </c>
      <c r="K31" s="117"/>
      <c r="L31" s="116" t="str">
        <f>IF('input for RPA'!I37="","",'input for RPA'!I37)</f>
        <v>Y</v>
      </c>
      <c r="M31" s="116" t="str">
        <f>IF('input for RPA'!J37="","",'input for RPA'!J37)</f>
        <v>Y</v>
      </c>
      <c r="N31" s="116">
        <f>IF('input for RPA'!K37="","",'input for RPA'!K37)</f>
        <v>0.5</v>
      </c>
      <c r="O31" s="116">
        <f>IF('input for RPA'!L37="","",'input for RPA'!L37)</f>
      </c>
      <c r="P31" s="116" t="str">
        <f t="shared" si="4"/>
        <v>N</v>
      </c>
      <c r="Q31" s="12" t="str">
        <f t="shared" si="5"/>
        <v>No Criteria</v>
      </c>
      <c r="R31" s="116" t="str">
        <f>'input for RPA'!O37</f>
        <v>No Criteria</v>
      </c>
      <c r="S31" s="145" t="str">
        <f t="shared" si="7"/>
        <v>Uo</v>
      </c>
      <c r="T31" s="146" t="str">
        <f t="shared" si="6"/>
        <v>No Criteria</v>
      </c>
    </row>
    <row r="32" spans="1:20" ht="12.75">
      <c r="A32" s="9">
        <v>27</v>
      </c>
      <c r="B32" s="10" t="s">
        <v>40</v>
      </c>
      <c r="C32" s="99">
        <f>Criteria!C36</f>
        <v>46</v>
      </c>
      <c r="D32" s="116" t="str">
        <f>IF('input for RPA'!C38="","",'input for RPA'!C38)</f>
        <v>N</v>
      </c>
      <c r="E32" s="116">
        <f>IF('input for RPA'!D38="","",'input for RPA'!D38)</f>
      </c>
      <c r="F32" s="116">
        <f>IF('input for RPA'!E38="","",'input for RPA'!E38)</f>
      </c>
      <c r="G32" s="116">
        <f>IF('input for RPA'!F38="","",'input for RPA'!F38)</f>
      </c>
      <c r="H32" s="12" t="str">
        <f t="shared" si="3"/>
        <v>No effluent data</v>
      </c>
      <c r="I32" s="117">
        <f t="shared" si="0"/>
      </c>
      <c r="J32" s="12">
        <f t="shared" si="1"/>
      </c>
      <c r="K32" s="117"/>
      <c r="L32" s="116" t="str">
        <f>IF('input for RPA'!I38="","",'input for RPA'!I38)</f>
        <v>Y</v>
      </c>
      <c r="M32" s="116" t="str">
        <f>IF('input for RPA'!J38="","",'input for RPA'!J38)</f>
        <v>Y</v>
      </c>
      <c r="N32" s="116">
        <f>IF('input for RPA'!K38="","",'input for RPA'!K38)</f>
        <v>0.05</v>
      </c>
      <c r="O32" s="116">
        <f>IF('input for RPA'!L38="","",'input for RPA'!L38)</f>
      </c>
      <c r="P32" s="116" t="str">
        <f t="shared" si="4"/>
        <v>N</v>
      </c>
      <c r="Q32" s="12" t="str">
        <f t="shared" si="5"/>
        <v>No detected value of B, Step 7</v>
      </c>
      <c r="R32" s="116">
        <f>'input for RPA'!O38</f>
      </c>
      <c r="S32" s="145" t="str">
        <f t="shared" si="7"/>
        <v>No</v>
      </c>
      <c r="T32" s="146" t="str">
        <f t="shared" si="6"/>
        <v>Ud, no effluent data &amp; B is ND</v>
      </c>
    </row>
    <row r="33" spans="1:20" ht="12.75">
      <c r="A33" s="9">
        <v>28</v>
      </c>
      <c r="B33" s="10" t="s">
        <v>41</v>
      </c>
      <c r="C33" s="99" t="str">
        <f>Criteria!C37</f>
        <v>No Criteria</v>
      </c>
      <c r="D33" s="116" t="str">
        <f>IF('input for RPA'!C39="","",'input for RPA'!C39)</f>
        <v>N</v>
      </c>
      <c r="E33" s="116">
        <f>IF('input for RPA'!D39="","",'input for RPA'!D39)</f>
      </c>
      <c r="F33" s="116">
        <f>IF('input for RPA'!E39="","",'input for RPA'!E39)</f>
      </c>
      <c r="G33" s="116">
        <f>IF('input for RPA'!F39="","",'input for RPA'!F39)</f>
      </c>
      <c r="H33" s="12" t="str">
        <f t="shared" si="3"/>
        <v>No Criteria</v>
      </c>
      <c r="I33" s="117" t="str">
        <f t="shared" si="0"/>
        <v>No Criteria</v>
      </c>
      <c r="J33" s="12" t="str">
        <f t="shared" si="1"/>
        <v>No Criteria</v>
      </c>
      <c r="K33" s="117"/>
      <c r="L33" s="116" t="str">
        <f>IF('input for RPA'!I39="","",'input for RPA'!I39)</f>
        <v>Y</v>
      </c>
      <c r="M33" s="116" t="str">
        <f>IF('input for RPA'!J39="","",'input for RPA'!J39)</f>
        <v>Y</v>
      </c>
      <c r="N33" s="116">
        <f>IF('input for RPA'!K39="","",'input for RPA'!K39)</f>
        <v>0.05</v>
      </c>
      <c r="O33" s="116">
        <f>IF('input for RPA'!L39="","",'input for RPA'!L39)</f>
      </c>
      <c r="P33" s="116" t="str">
        <f t="shared" si="4"/>
        <v>N</v>
      </c>
      <c r="Q33" s="12" t="str">
        <f t="shared" si="5"/>
        <v>No Criteria</v>
      </c>
      <c r="R33" s="116" t="str">
        <f>'input for RPA'!O39</f>
        <v>No Criteria</v>
      </c>
      <c r="S33" s="145" t="str">
        <f t="shared" si="7"/>
        <v>Uo</v>
      </c>
      <c r="T33" s="146" t="str">
        <f t="shared" si="6"/>
        <v>No Criteria</v>
      </c>
    </row>
    <row r="34" spans="1:20" ht="12.75">
      <c r="A34" s="9">
        <v>29</v>
      </c>
      <c r="B34" s="10" t="s">
        <v>42</v>
      </c>
      <c r="C34" s="99">
        <f>Criteria!C38</f>
        <v>99</v>
      </c>
      <c r="D34" s="116" t="str">
        <f>IF('input for RPA'!C40="","",'input for RPA'!C40)</f>
        <v>N</v>
      </c>
      <c r="E34" s="116">
        <f>IF('input for RPA'!D40="","",'input for RPA'!D40)</f>
      </c>
      <c r="F34" s="116">
        <f>IF('input for RPA'!E40="","",'input for RPA'!E40)</f>
      </c>
      <c r="G34" s="116">
        <f>IF('input for RPA'!F40="","",'input for RPA'!F40)</f>
      </c>
      <c r="H34" s="12" t="str">
        <f t="shared" si="3"/>
        <v>No effluent data</v>
      </c>
      <c r="I34" s="117">
        <f t="shared" si="0"/>
      </c>
      <c r="J34" s="12">
        <f t="shared" si="1"/>
      </c>
      <c r="K34" s="117"/>
      <c r="L34" s="116" t="str">
        <f>IF('input for RPA'!I40="","",'input for RPA'!I40)</f>
        <v>Y</v>
      </c>
      <c r="M34" s="116" t="str">
        <f>IF('input for RPA'!J40="","",'input for RPA'!J40)</f>
        <v>N</v>
      </c>
      <c r="N34" s="116">
        <f>IF('input for RPA'!K40="","",'input for RPA'!K40)</f>
      </c>
      <c r="O34" s="116">
        <f>IF('input for RPA'!L40="","",'input for RPA'!L40)</f>
        <v>0.04</v>
      </c>
      <c r="P34" s="116">
        <f t="shared" si="4"/>
      </c>
      <c r="Q34" s="12" t="str">
        <f t="shared" si="5"/>
        <v>B&lt;C, Step 7</v>
      </c>
      <c r="R34" s="116">
        <f>'input for RPA'!O40</f>
      </c>
      <c r="S34" s="145" t="str">
        <f t="shared" si="7"/>
        <v>Ud</v>
      </c>
      <c r="T34" s="146" t="str">
        <f t="shared" si="6"/>
        <v>no effluent data &amp; B&lt;C</v>
      </c>
    </row>
    <row r="35" spans="1:20" ht="12.75">
      <c r="A35" s="9">
        <v>30</v>
      </c>
      <c r="B35" s="10" t="s">
        <v>43</v>
      </c>
      <c r="C35" s="104">
        <f>Criteria!C39</f>
        <v>3.2</v>
      </c>
      <c r="D35" s="116" t="str">
        <f>IF('input for RPA'!C41="","",'input for RPA'!C41)</f>
        <v>N</v>
      </c>
      <c r="E35" s="116">
        <f>IF('input for RPA'!D41="","",'input for RPA'!D41)</f>
      </c>
      <c r="F35" s="116">
        <f>IF('input for RPA'!E41="","",'input for RPA'!E41)</f>
      </c>
      <c r="G35" s="116">
        <f>IF('input for RPA'!F41="","",'input for RPA'!F41)</f>
      </c>
      <c r="H35" s="12" t="str">
        <f t="shared" si="3"/>
        <v>No effluent data</v>
      </c>
      <c r="I35" s="117">
        <f t="shared" si="0"/>
      </c>
      <c r="J35" s="12">
        <f t="shared" si="1"/>
      </c>
      <c r="K35" s="117"/>
      <c r="L35" s="116" t="str">
        <f>IF('input for RPA'!I41="","",'input for RPA'!I41)</f>
        <v>Y</v>
      </c>
      <c r="M35" s="116" t="str">
        <f>IF('input for RPA'!J41="","",'input for RPA'!J41)</f>
        <v>Y</v>
      </c>
      <c r="N35" s="116">
        <f>IF('input for RPA'!K41="","",'input for RPA'!K41)</f>
        <v>0.5</v>
      </c>
      <c r="O35" s="116">
        <f>IF('input for RPA'!L41="","",'input for RPA'!L41)</f>
      </c>
      <c r="P35" s="116" t="str">
        <f t="shared" si="4"/>
        <v>N</v>
      </c>
      <c r="Q35" s="12" t="str">
        <f t="shared" si="5"/>
        <v>No detected value of B, Step 7</v>
      </c>
      <c r="R35" s="116">
        <f>'input for RPA'!O41</f>
      </c>
      <c r="S35" s="145" t="str">
        <f t="shared" si="7"/>
        <v>No</v>
      </c>
      <c r="T35" s="146" t="str">
        <f t="shared" si="6"/>
        <v>Ud, no effluent data &amp; B is ND</v>
      </c>
    </row>
    <row r="36" spans="1:20" ht="12.75">
      <c r="A36" s="9">
        <v>31</v>
      </c>
      <c r="B36" s="10" t="s">
        <v>44</v>
      </c>
      <c r="C36" s="99">
        <f>Criteria!C40</f>
        <v>39</v>
      </c>
      <c r="D36" s="116" t="str">
        <f>IF('input for RPA'!C42="","",'input for RPA'!C42)</f>
        <v>N</v>
      </c>
      <c r="E36" s="116">
        <f>IF('input for RPA'!D42="","",'input for RPA'!D42)</f>
      </c>
      <c r="F36" s="116">
        <f>IF('input for RPA'!E42="","",'input for RPA'!E42)</f>
      </c>
      <c r="G36" s="116">
        <f>IF('input for RPA'!F42="","",'input for RPA'!F42)</f>
      </c>
      <c r="H36" s="12" t="str">
        <f t="shared" si="3"/>
        <v>No effluent data</v>
      </c>
      <c r="I36" s="117">
        <f t="shared" si="0"/>
      </c>
      <c r="J36" s="12">
        <f t="shared" si="1"/>
      </c>
      <c r="K36" s="117"/>
      <c r="L36" s="116" t="str">
        <f>IF('input for RPA'!I42="","",'input for RPA'!I42)</f>
        <v>Y</v>
      </c>
      <c r="M36" s="116" t="str">
        <f>IF('input for RPA'!J42="","",'input for RPA'!J42)</f>
        <v>Y</v>
      </c>
      <c r="N36" s="116">
        <f>IF('input for RPA'!K42="","",'input for RPA'!K42)</f>
        <v>0.05</v>
      </c>
      <c r="O36" s="116">
        <f>IF('input for RPA'!L42="","",'input for RPA'!L42)</f>
      </c>
      <c r="P36" s="116" t="str">
        <f t="shared" si="4"/>
        <v>N</v>
      </c>
      <c r="Q36" s="12" t="str">
        <f t="shared" si="5"/>
        <v>No detected value of B, Step 7</v>
      </c>
      <c r="R36" s="116">
        <f>'input for RPA'!O42</f>
      </c>
      <c r="S36" s="145" t="str">
        <f t="shared" si="7"/>
        <v>No</v>
      </c>
      <c r="T36" s="146" t="str">
        <f t="shared" si="6"/>
        <v>Ud, no effluent data &amp; B is ND</v>
      </c>
    </row>
    <row r="37" spans="1:20" ht="12.75">
      <c r="A37" s="9">
        <v>32</v>
      </c>
      <c r="B37" s="10" t="s">
        <v>45</v>
      </c>
      <c r="C37" s="99">
        <f>Criteria!C41</f>
        <v>1700</v>
      </c>
      <c r="D37" s="116" t="str">
        <f>IF('input for RPA'!C43="","",'input for RPA'!C43)</f>
        <v>N</v>
      </c>
      <c r="E37" s="116">
        <f>IF('input for RPA'!D43="","",'input for RPA'!D43)</f>
      </c>
      <c r="F37" s="116">
        <f>IF('input for RPA'!E43="","",'input for RPA'!E43)</f>
      </c>
      <c r="G37" s="116">
        <f>IF('input for RPA'!F43="","",'input for RPA'!F43)</f>
      </c>
      <c r="H37" s="12" t="str">
        <f t="shared" si="3"/>
        <v>No effluent data</v>
      </c>
      <c r="I37" s="117">
        <f aca="true" t="shared" si="8" ref="I37:I68">IF(C37="No Criteria","No Criteria",IF(D37="N","",IF(E37="N",G37,IF(H37="All ND, MDL&lt;C, MEC=MDL",F37,""))))</f>
      </c>
      <c r="J37" s="12">
        <f aca="true" t="shared" si="9" ref="J37:J68">IF(C37="No Criteria","No Criteria",IF(I37="","",IF(I37&gt;=C37,"MEC&gt;=C, Effluent Limits Required","MEC&lt;C, go to Step 5")))</f>
      </c>
      <c r="K37" s="117"/>
      <c r="L37" s="116" t="str">
        <f>IF('input for RPA'!I43="","",'input for RPA'!I43)</f>
        <v>N</v>
      </c>
      <c r="M37" s="116">
        <f>IF('input for RPA'!J43="","",'input for RPA'!J43)</f>
      </c>
      <c r="N37" s="116">
        <f>IF('input for RPA'!K43="","",'input for RPA'!K43)</f>
      </c>
      <c r="O37" s="116">
        <f>IF('input for RPA'!L43="","",'input for RPA'!L43)</f>
      </c>
      <c r="P37" s="116">
        <f t="shared" si="4"/>
      </c>
      <c r="Q37" s="12" t="str">
        <f t="shared" si="5"/>
        <v>No detected value of B, Step 7</v>
      </c>
      <c r="R37" s="116">
        <f>'input for RPA'!O43</f>
      </c>
      <c r="S37" s="145" t="str">
        <f t="shared" si="7"/>
        <v>Ud</v>
      </c>
      <c r="T37" s="146" t="str">
        <f t="shared" si="6"/>
        <v>no effluent data &amp; no B</v>
      </c>
    </row>
    <row r="38" spans="1:20" ht="12.75">
      <c r="A38" s="9">
        <v>33</v>
      </c>
      <c r="B38" s="10" t="s">
        <v>46</v>
      </c>
      <c r="C38" s="99">
        <f>Criteria!C42</f>
        <v>29000</v>
      </c>
      <c r="D38" s="116" t="str">
        <f>IF('input for RPA'!C44="","",'input for RPA'!C44)</f>
        <v>N</v>
      </c>
      <c r="E38" s="116">
        <f>IF('input for RPA'!D44="","",'input for RPA'!D44)</f>
      </c>
      <c r="F38" s="116">
        <f>IF('input for RPA'!E44="","",'input for RPA'!E44)</f>
      </c>
      <c r="G38" s="116">
        <f>IF('input for RPA'!F44="","",'input for RPA'!F44)</f>
      </c>
      <c r="H38" s="12" t="str">
        <f t="shared" si="3"/>
        <v>No effluent data</v>
      </c>
      <c r="I38" s="117">
        <f t="shared" si="8"/>
      </c>
      <c r="J38" s="12">
        <f t="shared" si="9"/>
      </c>
      <c r="K38" s="117"/>
      <c r="L38" s="116" t="str">
        <f>IF('input for RPA'!I44="","",'input for RPA'!I44)</f>
        <v>Y</v>
      </c>
      <c r="M38" s="116" t="str">
        <f>IF('input for RPA'!J44="","",'input for RPA'!J44)</f>
        <v>Y</v>
      </c>
      <c r="N38" s="116">
        <f>IF('input for RPA'!K44="","",'input for RPA'!K44)</f>
        <v>0.5</v>
      </c>
      <c r="O38" s="116">
        <f>IF('input for RPA'!L44="","",'input for RPA'!L44)</f>
      </c>
      <c r="P38" s="116" t="str">
        <f t="shared" si="4"/>
        <v>N</v>
      </c>
      <c r="Q38" s="12" t="str">
        <f t="shared" si="5"/>
        <v>No detected value of B, Step 7</v>
      </c>
      <c r="R38" s="116">
        <f>'input for RPA'!O44</f>
      </c>
      <c r="S38" s="145" t="str">
        <f t="shared" si="7"/>
        <v>No</v>
      </c>
      <c r="T38" s="146" t="str">
        <f t="shared" si="6"/>
        <v>Ud, no effluent data &amp; B is ND</v>
      </c>
    </row>
    <row r="39" spans="1:20" ht="12.75">
      <c r="A39" s="9">
        <v>34</v>
      </c>
      <c r="B39" s="10" t="s">
        <v>47</v>
      </c>
      <c r="C39" s="99">
        <f>Criteria!C43</f>
        <v>4000</v>
      </c>
      <c r="D39" s="116" t="str">
        <f>IF('input for RPA'!C45="","",'input for RPA'!C45)</f>
        <v>N</v>
      </c>
      <c r="E39" s="116">
        <f>IF('input for RPA'!D45="","",'input for RPA'!D45)</f>
      </c>
      <c r="F39" s="116">
        <f>IF('input for RPA'!E45="","",'input for RPA'!E45)</f>
      </c>
      <c r="G39" s="116">
        <f>IF('input for RPA'!F45="","",'input for RPA'!F45)</f>
      </c>
      <c r="H39" s="12" t="str">
        <f t="shared" si="3"/>
        <v>No effluent data</v>
      </c>
      <c r="I39" s="117">
        <f t="shared" si="8"/>
      </c>
      <c r="J39" s="12">
        <f t="shared" si="9"/>
      </c>
      <c r="K39" s="117"/>
      <c r="L39" s="116" t="str">
        <f>IF('input for RPA'!I45="","",'input for RPA'!I45)</f>
        <v>Y</v>
      </c>
      <c r="M39" s="116" t="str">
        <f>IF('input for RPA'!J45="","",'input for RPA'!J45)</f>
        <v>Y</v>
      </c>
      <c r="N39" s="116">
        <f>IF('input for RPA'!K45="","",'input for RPA'!K45)</f>
        <v>0.5</v>
      </c>
      <c r="O39" s="116">
        <f>IF('input for RPA'!L45="","",'input for RPA'!L45)</f>
      </c>
      <c r="P39" s="116" t="str">
        <f t="shared" si="4"/>
        <v>N</v>
      </c>
      <c r="Q39" s="12" t="str">
        <f t="shared" si="5"/>
        <v>No detected value of B, Step 7</v>
      </c>
      <c r="R39" s="116">
        <f>'input for RPA'!O45</f>
      </c>
      <c r="S39" s="145" t="str">
        <f t="shared" si="7"/>
        <v>No</v>
      </c>
      <c r="T39" s="146" t="str">
        <f t="shared" si="6"/>
        <v>Ud, no effluent data &amp; B is ND</v>
      </c>
    </row>
    <row r="40" spans="1:20" ht="12.75">
      <c r="A40" s="9">
        <v>35</v>
      </c>
      <c r="B40" s="10" t="s">
        <v>48</v>
      </c>
      <c r="C40" s="99" t="str">
        <f>Criteria!C44</f>
        <v>No Criteria</v>
      </c>
      <c r="D40" s="116" t="str">
        <f>IF('input for RPA'!C46="","",'input for RPA'!C46)</f>
        <v>N</v>
      </c>
      <c r="E40" s="116">
        <f>IF('input for RPA'!D46="","",'input for RPA'!D46)</f>
      </c>
      <c r="F40" s="116">
        <f>IF('input for RPA'!E46="","",'input for RPA'!E46)</f>
      </c>
      <c r="G40" s="116">
        <f>IF('input for RPA'!F46="","",'input for RPA'!F46)</f>
      </c>
      <c r="H40" s="12" t="str">
        <f t="shared" si="3"/>
        <v>No Criteria</v>
      </c>
      <c r="I40" s="117" t="str">
        <f t="shared" si="8"/>
        <v>No Criteria</v>
      </c>
      <c r="J40" s="12" t="str">
        <f t="shared" si="9"/>
        <v>No Criteria</v>
      </c>
      <c r="K40" s="117"/>
      <c r="L40" s="116" t="str">
        <f>IF('input for RPA'!I46="","",'input for RPA'!I46)</f>
        <v>Y</v>
      </c>
      <c r="M40" s="116" t="str">
        <f>IF('input for RPA'!J46="","",'input for RPA'!J46)</f>
        <v>Y</v>
      </c>
      <c r="N40" s="116">
        <f>IF('input for RPA'!K46="","",'input for RPA'!K46)</f>
        <v>0.5</v>
      </c>
      <c r="O40" s="116">
        <f>IF('input for RPA'!L46="","",'input for RPA'!L46)</f>
      </c>
      <c r="P40" s="116" t="str">
        <f t="shared" si="4"/>
        <v>N</v>
      </c>
      <c r="Q40" s="12" t="str">
        <f t="shared" si="5"/>
        <v>No Criteria</v>
      </c>
      <c r="R40" s="116" t="str">
        <f>'input for RPA'!O46</f>
        <v>No Criteria</v>
      </c>
      <c r="S40" s="145" t="str">
        <f t="shared" si="7"/>
        <v>Uo</v>
      </c>
      <c r="T40" s="146" t="str">
        <f t="shared" si="6"/>
        <v>No Criteria</v>
      </c>
    </row>
    <row r="41" spans="1:20" ht="12.75">
      <c r="A41" s="9">
        <v>36</v>
      </c>
      <c r="B41" s="10" t="s">
        <v>49</v>
      </c>
      <c r="C41" s="99">
        <f>Criteria!C45</f>
        <v>1600</v>
      </c>
      <c r="D41" s="116" t="str">
        <f>IF('input for RPA'!C47="","",'input for RPA'!C47)</f>
        <v>Y</v>
      </c>
      <c r="E41" s="116" t="str">
        <f>IF('input for RPA'!D47="","",'input for RPA'!D47)</f>
        <v>Y</v>
      </c>
      <c r="F41" s="116">
        <f>IF('input for RPA'!E47="","",'input for RPA'!E47)</f>
        <v>1</v>
      </c>
      <c r="G41" s="116">
        <f>IF('input for RPA'!F47="","",'input for RPA'!F47)</f>
      </c>
      <c r="H41" s="12" t="str">
        <f t="shared" si="3"/>
        <v>All ND, MDL&lt;C, MEC=MDL</v>
      </c>
      <c r="I41" s="117">
        <f t="shared" si="8"/>
        <v>1</v>
      </c>
      <c r="J41" s="12" t="str">
        <f t="shared" si="9"/>
        <v>MEC&lt;C, go to Step 5</v>
      </c>
      <c r="K41" s="117"/>
      <c r="L41" s="116" t="str">
        <f>IF('input for RPA'!I47="","",'input for RPA'!I47)</f>
        <v>Y</v>
      </c>
      <c r="M41" s="116" t="str">
        <f>IF('input for RPA'!J47="","",'input for RPA'!J47)</f>
        <v>N</v>
      </c>
      <c r="N41" s="116">
        <f>IF('input for RPA'!K47="","",'input for RPA'!K47)</f>
      </c>
      <c r="O41" s="116">
        <f>IF('input for RPA'!L47="","",'input for RPA'!L47)</f>
        <v>0.5</v>
      </c>
      <c r="P41" s="116">
        <f t="shared" si="4"/>
      </c>
      <c r="Q41" s="12" t="str">
        <f t="shared" si="5"/>
        <v>B&lt;C, Step 7</v>
      </c>
      <c r="R41" s="116">
        <f>'input for RPA'!O47</f>
      </c>
      <c r="S41" s="145" t="str">
        <f t="shared" si="7"/>
        <v>No</v>
      </c>
      <c r="T41" s="146" t="str">
        <f t="shared" si="6"/>
        <v>MEC&lt;C &amp; B&lt;C</v>
      </c>
    </row>
    <row r="42" spans="1:20" ht="12.75">
      <c r="A42" s="9">
        <v>37</v>
      </c>
      <c r="B42" s="10" t="s">
        <v>50</v>
      </c>
      <c r="C42" s="99">
        <f>Criteria!C46</f>
        <v>11</v>
      </c>
      <c r="D42" s="116" t="str">
        <f>IF('input for RPA'!C48="","",'input for RPA'!C48)</f>
        <v>N</v>
      </c>
      <c r="E42" s="116">
        <f>IF('input for RPA'!D48="","",'input for RPA'!D48)</f>
      </c>
      <c r="F42" s="116">
        <f>IF('input for RPA'!E48="","",'input for RPA'!E48)</f>
      </c>
      <c r="G42" s="116">
        <f>IF('input for RPA'!F48="","",'input for RPA'!F48)</f>
      </c>
      <c r="H42" s="12" t="str">
        <f t="shared" si="3"/>
        <v>No effluent data</v>
      </c>
      <c r="I42" s="117">
        <f t="shared" si="8"/>
      </c>
      <c r="J42" s="12">
        <f t="shared" si="9"/>
      </c>
      <c r="K42" s="117"/>
      <c r="L42" s="116" t="str">
        <f>IF('input for RPA'!I48="","",'input for RPA'!I48)</f>
        <v>Y</v>
      </c>
      <c r="M42" s="116" t="str">
        <f>IF('input for RPA'!J48="","",'input for RPA'!J48)</f>
        <v>Y</v>
      </c>
      <c r="N42" s="116">
        <f>IF('input for RPA'!K48="","",'input for RPA'!K48)</f>
        <v>0.05</v>
      </c>
      <c r="O42" s="116">
        <f>IF('input for RPA'!L48="","",'input for RPA'!L48)</f>
      </c>
      <c r="P42" s="116" t="str">
        <f t="shared" si="4"/>
        <v>N</v>
      </c>
      <c r="Q42" s="12" t="str">
        <f t="shared" si="5"/>
        <v>No detected value of B, Step 7</v>
      </c>
      <c r="R42" s="116">
        <f>'input for RPA'!O48</f>
      </c>
      <c r="S42" s="145" t="str">
        <f t="shared" si="7"/>
        <v>No</v>
      </c>
      <c r="T42" s="146" t="str">
        <f t="shared" si="6"/>
        <v>Ud, no effluent data &amp; B is ND</v>
      </c>
    </row>
    <row r="43" spans="1:20" ht="12.75">
      <c r="A43" s="9">
        <v>38</v>
      </c>
      <c r="B43" s="10" t="s">
        <v>51</v>
      </c>
      <c r="C43" s="101">
        <f>Criteria!C47</f>
        <v>8.85</v>
      </c>
      <c r="D43" s="116" t="str">
        <f>IF('input for RPA'!C49="","",'input for RPA'!C49)</f>
        <v>N</v>
      </c>
      <c r="E43" s="116">
        <f>IF('input for RPA'!D49="","",'input for RPA'!D49)</f>
      </c>
      <c r="F43" s="116">
        <f>IF('input for RPA'!E49="","",'input for RPA'!E49)</f>
      </c>
      <c r="G43" s="116">
        <f>IF('input for RPA'!F49="","",'input for RPA'!F49)</f>
      </c>
      <c r="H43" s="12" t="str">
        <f t="shared" si="3"/>
        <v>No effluent data</v>
      </c>
      <c r="I43" s="117">
        <f t="shared" si="8"/>
      </c>
      <c r="J43" s="12">
        <f t="shared" si="9"/>
      </c>
      <c r="K43" s="117"/>
      <c r="L43" s="116" t="str">
        <f>IF('input for RPA'!I49="","",'input for RPA'!I49)</f>
        <v>Y</v>
      </c>
      <c r="M43" s="116" t="str">
        <f>IF('input for RPA'!J49="","",'input for RPA'!J49)</f>
        <v>Y</v>
      </c>
      <c r="N43" s="116">
        <f>IF('input for RPA'!K49="","",'input for RPA'!K49)</f>
        <v>0.05</v>
      </c>
      <c r="O43" s="116">
        <f>IF('input for RPA'!L49="","",'input for RPA'!L49)</f>
      </c>
      <c r="P43" s="116" t="str">
        <f t="shared" si="4"/>
        <v>N</v>
      </c>
      <c r="Q43" s="12" t="str">
        <f t="shared" si="5"/>
        <v>No detected value of B, Step 7</v>
      </c>
      <c r="R43" s="116">
        <f>'input for RPA'!O49</f>
      </c>
      <c r="S43" s="145" t="str">
        <f t="shared" si="7"/>
        <v>No</v>
      </c>
      <c r="T43" s="146" t="str">
        <f t="shared" si="6"/>
        <v>Ud, no effluent data &amp; B is ND</v>
      </c>
    </row>
    <row r="44" spans="1:20" ht="12.75">
      <c r="A44" s="9">
        <v>39</v>
      </c>
      <c r="B44" s="10" t="s">
        <v>52</v>
      </c>
      <c r="C44" s="99">
        <f>Criteria!C48</f>
        <v>200000</v>
      </c>
      <c r="D44" s="116" t="str">
        <f>IF('input for RPA'!C50="","",'input for RPA'!C50)</f>
        <v>Y</v>
      </c>
      <c r="E44" s="116" t="str">
        <f>IF('input for RPA'!D50="","",'input for RPA'!D50)</f>
        <v>Y</v>
      </c>
      <c r="F44" s="116">
        <f>IF('input for RPA'!E50="","",'input for RPA'!E50)</f>
        <v>1</v>
      </c>
      <c r="G44" s="116">
        <f>IF('input for RPA'!F50="","",'input for RPA'!F50)</f>
      </c>
      <c r="H44" s="12" t="str">
        <f t="shared" si="3"/>
        <v>All ND, MDL&lt;C, MEC=MDL</v>
      </c>
      <c r="I44" s="117">
        <f t="shared" si="8"/>
        <v>1</v>
      </c>
      <c r="J44" s="12" t="str">
        <f t="shared" si="9"/>
        <v>MEC&lt;C, go to Step 5</v>
      </c>
      <c r="K44" s="117"/>
      <c r="L44" s="116" t="str">
        <f>IF('input for RPA'!I50="","",'input for RPA'!I50)</f>
        <v>Y</v>
      </c>
      <c r="M44" s="116" t="str">
        <f>IF('input for RPA'!J50="","",'input for RPA'!J50)</f>
        <v>Y</v>
      </c>
      <c r="N44" s="116">
        <f>IF('input for RPA'!K50="","",'input for RPA'!K50)</f>
        <v>0.3</v>
      </c>
      <c r="O44" s="116">
        <f>IF('input for RPA'!L50="","",'input for RPA'!L50)</f>
      </c>
      <c r="P44" s="116" t="str">
        <f t="shared" si="4"/>
        <v>N</v>
      </c>
      <c r="Q44" s="12" t="str">
        <f t="shared" si="5"/>
        <v>No detected value of B, Step 7</v>
      </c>
      <c r="R44" s="116">
        <f>'input for RPA'!O50</f>
      </c>
      <c r="S44" s="145" t="str">
        <f t="shared" si="7"/>
        <v>No</v>
      </c>
      <c r="T44" s="146" t="str">
        <f t="shared" si="6"/>
        <v>Ud;MEC&lt;C &amp; B is ND</v>
      </c>
    </row>
    <row r="45" spans="1:20" ht="12.75">
      <c r="A45" s="9">
        <v>40</v>
      </c>
      <c r="B45" s="10" t="s">
        <v>53</v>
      </c>
      <c r="C45" s="99">
        <f>Criteria!C49</f>
        <v>140000</v>
      </c>
      <c r="D45" s="116" t="str">
        <f>IF('input for RPA'!C51="","",'input for RPA'!C51)</f>
        <v>N</v>
      </c>
      <c r="E45" s="116">
        <f>IF('input for RPA'!D51="","",'input for RPA'!D51)</f>
      </c>
      <c r="F45" s="116">
        <f>IF('input for RPA'!E51="","",'input for RPA'!E51)</f>
      </c>
      <c r="G45" s="116">
        <f>IF('input for RPA'!F51="","",'input for RPA'!F51)</f>
      </c>
      <c r="H45" s="12" t="str">
        <f t="shared" si="3"/>
        <v>No effluent data</v>
      </c>
      <c r="I45" s="117">
        <f t="shared" si="8"/>
      </c>
      <c r="J45" s="12">
        <f t="shared" si="9"/>
      </c>
      <c r="K45" s="117"/>
      <c r="L45" s="116" t="str">
        <f>IF('input for RPA'!I51="","",'input for RPA'!I51)</f>
        <v>Y</v>
      </c>
      <c r="M45" s="116" t="str">
        <f>IF('input for RPA'!J51="","",'input for RPA'!J51)</f>
        <v>Y</v>
      </c>
      <c r="N45" s="116">
        <f>IF('input for RPA'!K51="","",'input for RPA'!K51)</f>
        <v>0.5</v>
      </c>
      <c r="O45" s="116">
        <f>IF('input for RPA'!L51="","",'input for RPA'!L51)</f>
      </c>
      <c r="P45" s="116" t="str">
        <f t="shared" si="4"/>
        <v>N</v>
      </c>
      <c r="Q45" s="12" t="str">
        <f t="shared" si="5"/>
        <v>No detected value of B, Step 7</v>
      </c>
      <c r="R45" s="116">
        <f>'input for RPA'!O51</f>
      </c>
      <c r="S45" s="145" t="str">
        <f t="shared" si="7"/>
        <v>No</v>
      </c>
      <c r="T45" s="146" t="str">
        <f t="shared" si="6"/>
        <v>Ud, no effluent data &amp; B is ND</v>
      </c>
    </row>
    <row r="46" spans="1:20" ht="12.75">
      <c r="A46" s="9">
        <v>41</v>
      </c>
      <c r="B46" s="10" t="s">
        <v>54</v>
      </c>
      <c r="C46" s="99" t="str">
        <f>Criteria!C50</f>
        <v>No Criteria</v>
      </c>
      <c r="D46" s="116" t="str">
        <f>IF('input for RPA'!C52="","",'input for RPA'!C52)</f>
        <v>N</v>
      </c>
      <c r="E46" s="116">
        <f>IF('input for RPA'!D52="","",'input for RPA'!D52)</f>
      </c>
      <c r="F46" s="116">
        <f>IF('input for RPA'!E52="","",'input for RPA'!E52)</f>
      </c>
      <c r="G46" s="116">
        <f>IF('input for RPA'!F52="","",'input for RPA'!F52)</f>
      </c>
      <c r="H46" s="12" t="str">
        <f t="shared" si="3"/>
        <v>No Criteria</v>
      </c>
      <c r="I46" s="117" t="str">
        <f t="shared" si="8"/>
        <v>No Criteria</v>
      </c>
      <c r="J46" s="12" t="str">
        <f t="shared" si="9"/>
        <v>No Criteria</v>
      </c>
      <c r="K46" s="117"/>
      <c r="L46" s="116" t="str">
        <f>IF('input for RPA'!I52="","",'input for RPA'!I52)</f>
        <v>Y</v>
      </c>
      <c r="M46" s="116" t="str">
        <f>IF('input for RPA'!J52="","",'input for RPA'!J52)</f>
        <v>Y</v>
      </c>
      <c r="N46" s="116">
        <f>IF('input for RPA'!K52="","",'input for RPA'!K52)</f>
        <v>0.5</v>
      </c>
      <c r="O46" s="116">
        <f>IF('input for RPA'!L52="","",'input for RPA'!L52)</f>
      </c>
      <c r="P46" s="116" t="str">
        <f t="shared" si="4"/>
        <v>N</v>
      </c>
      <c r="Q46" s="12" t="str">
        <f t="shared" si="5"/>
        <v>No Criteria</v>
      </c>
      <c r="R46" s="116" t="str">
        <f>'input for RPA'!O52</f>
        <v>No Criteria</v>
      </c>
      <c r="S46" s="145" t="str">
        <f t="shared" si="7"/>
        <v>Uo</v>
      </c>
      <c r="T46" s="146" t="str">
        <f t="shared" si="6"/>
        <v>No Criteria</v>
      </c>
    </row>
    <row r="47" spans="1:20" ht="12.75">
      <c r="A47" s="9">
        <v>42</v>
      </c>
      <c r="B47" s="10" t="s">
        <v>55</v>
      </c>
      <c r="C47" s="99">
        <f>Criteria!C51</f>
        <v>42</v>
      </c>
      <c r="D47" s="116" t="str">
        <f>IF('input for RPA'!C53="","",'input for RPA'!C53)</f>
        <v>N</v>
      </c>
      <c r="E47" s="116">
        <f>IF('input for RPA'!D53="","",'input for RPA'!D53)</f>
      </c>
      <c r="F47" s="116">
        <f>IF('input for RPA'!E53="","",'input for RPA'!E53)</f>
      </c>
      <c r="G47" s="116">
        <f>IF('input for RPA'!F53="","",'input for RPA'!F53)</f>
      </c>
      <c r="H47" s="12" t="str">
        <f t="shared" si="3"/>
        <v>No effluent data</v>
      </c>
      <c r="I47" s="117">
        <f t="shared" si="8"/>
      </c>
      <c r="J47" s="12">
        <f t="shared" si="9"/>
      </c>
      <c r="K47" s="117"/>
      <c r="L47" s="116" t="str">
        <f>IF('input for RPA'!I53="","",'input for RPA'!I53)</f>
        <v>Y</v>
      </c>
      <c r="M47" s="116" t="str">
        <f>IF('input for RPA'!J53="","",'input for RPA'!J53)</f>
        <v>Y</v>
      </c>
      <c r="N47" s="116">
        <f>IF('input for RPA'!K53="","",'input for RPA'!K53)</f>
        <v>0.05</v>
      </c>
      <c r="O47" s="116">
        <f>IF('input for RPA'!L53="","",'input for RPA'!L53)</f>
      </c>
      <c r="P47" s="116" t="str">
        <f t="shared" si="4"/>
        <v>N</v>
      </c>
      <c r="Q47" s="12" t="str">
        <f t="shared" si="5"/>
        <v>No detected value of B, Step 7</v>
      </c>
      <c r="R47" s="116">
        <f>'input for RPA'!O53</f>
      </c>
      <c r="S47" s="145" t="str">
        <f t="shared" si="7"/>
        <v>No</v>
      </c>
      <c r="T47" s="146" t="str">
        <f t="shared" si="6"/>
        <v>Ud, no effluent data &amp; B is ND</v>
      </c>
    </row>
    <row r="48" spans="1:20" ht="12.75">
      <c r="A48" s="9">
        <v>43</v>
      </c>
      <c r="B48" s="10" t="s">
        <v>56</v>
      </c>
      <c r="C48" s="99">
        <f>Criteria!C52</f>
        <v>81</v>
      </c>
      <c r="D48" s="116" t="str">
        <f>IF('input for RPA'!C54="","",'input for RPA'!C54)</f>
        <v>N</v>
      </c>
      <c r="E48" s="116">
        <f>IF('input for RPA'!D54="","",'input for RPA'!D54)</f>
      </c>
      <c r="F48" s="116">
        <f>IF('input for RPA'!E54="","",'input for RPA'!E54)</f>
      </c>
      <c r="G48" s="116">
        <f>IF('input for RPA'!F54="","",'input for RPA'!F54)</f>
      </c>
      <c r="H48" s="12" t="str">
        <f t="shared" si="3"/>
        <v>No effluent data</v>
      </c>
      <c r="I48" s="117">
        <f t="shared" si="8"/>
      </c>
      <c r="J48" s="12">
        <f t="shared" si="9"/>
      </c>
      <c r="K48" s="117"/>
      <c r="L48" s="116" t="str">
        <f>IF('input for RPA'!I54="","",'input for RPA'!I54)</f>
        <v>Y</v>
      </c>
      <c r="M48" s="116" t="str">
        <f>IF('input for RPA'!J54="","",'input for RPA'!J54)</f>
        <v>Y</v>
      </c>
      <c r="N48" s="116">
        <f>IF('input for RPA'!K54="","",'input for RPA'!K54)</f>
        <v>0.5</v>
      </c>
      <c r="O48" s="116">
        <f>IF('input for RPA'!L54="","",'input for RPA'!L54)</f>
      </c>
      <c r="P48" s="116" t="str">
        <f t="shared" si="4"/>
        <v>N</v>
      </c>
      <c r="Q48" s="12" t="str">
        <f t="shared" si="5"/>
        <v>No detected value of B, Step 7</v>
      </c>
      <c r="R48" s="116">
        <f>'input for RPA'!O54</f>
      </c>
      <c r="S48" s="145" t="str">
        <f t="shared" si="7"/>
        <v>No</v>
      </c>
      <c r="T48" s="146" t="str">
        <f t="shared" si="6"/>
        <v>Ud, no effluent data &amp; B is ND</v>
      </c>
    </row>
    <row r="49" spans="1:20" ht="12.75">
      <c r="A49" s="9">
        <v>44</v>
      </c>
      <c r="B49" s="10" t="s">
        <v>57</v>
      </c>
      <c r="C49" s="99">
        <f>Criteria!C53</f>
        <v>525</v>
      </c>
      <c r="D49" s="116" t="str">
        <f>IF('input for RPA'!C55="","",'input for RPA'!C55)</f>
        <v>N</v>
      </c>
      <c r="E49" s="116">
        <f>IF('input for RPA'!D55="","",'input for RPA'!D55)</f>
      </c>
      <c r="F49" s="116">
        <f>IF('input for RPA'!E55="","",'input for RPA'!E55)</f>
      </c>
      <c r="G49" s="116">
        <f>IF('input for RPA'!F55="","",'input for RPA'!F55)</f>
      </c>
      <c r="H49" s="12" t="str">
        <f t="shared" si="3"/>
        <v>No effluent data</v>
      </c>
      <c r="I49" s="117">
        <f t="shared" si="8"/>
      </c>
      <c r="J49" s="12">
        <f t="shared" si="9"/>
      </c>
      <c r="K49" s="117"/>
      <c r="L49" s="116" t="str">
        <f>IF('input for RPA'!I55="","",'input for RPA'!I55)</f>
        <v>Y</v>
      </c>
      <c r="M49" s="116" t="str">
        <f>IF('input for RPA'!J55="","",'input for RPA'!J55)</f>
        <v>Y</v>
      </c>
      <c r="N49" s="116">
        <f>IF('input for RPA'!K55="","",'input for RPA'!K55)</f>
        <v>0.5</v>
      </c>
      <c r="O49" s="116">
        <f>IF('input for RPA'!L55="","",'input for RPA'!L55)</f>
      </c>
      <c r="P49" s="116" t="str">
        <f t="shared" si="4"/>
        <v>N</v>
      </c>
      <c r="Q49" s="12" t="str">
        <f t="shared" si="5"/>
        <v>No detected value of B, Step 7</v>
      </c>
      <c r="R49" s="116">
        <f>'input for RPA'!O55</f>
      </c>
      <c r="S49" s="145" t="str">
        <f t="shared" si="7"/>
        <v>No</v>
      </c>
      <c r="T49" s="146" t="str">
        <f t="shared" si="6"/>
        <v>Ud, no effluent data &amp; B is ND</v>
      </c>
    </row>
    <row r="50" spans="1:20" ht="12.75">
      <c r="A50" s="9">
        <v>45</v>
      </c>
      <c r="B50" s="10" t="s">
        <v>58</v>
      </c>
      <c r="C50" s="99">
        <f>Criteria!C54</f>
        <v>400</v>
      </c>
      <c r="D50" s="116" t="str">
        <f>IF('input for RPA'!C56="","",'input for RPA'!C56)</f>
        <v>Y</v>
      </c>
      <c r="E50" s="116" t="str">
        <f>IF('input for RPA'!D56="","",'input for RPA'!D56)</f>
        <v>Y</v>
      </c>
      <c r="F50" s="116">
        <f>IF('input for RPA'!E56="","",'input for RPA'!E56)</f>
        <v>10</v>
      </c>
      <c r="G50" s="116">
        <f>IF('input for RPA'!F56="","",'input for RPA'!F56)</f>
      </c>
      <c r="H50" s="12" t="str">
        <f t="shared" si="3"/>
        <v>All ND, MDL&lt;C, MEC=MDL</v>
      </c>
      <c r="I50" s="117">
        <f t="shared" si="8"/>
        <v>10</v>
      </c>
      <c r="J50" s="12" t="str">
        <f t="shared" si="9"/>
        <v>MEC&lt;C, go to Step 5</v>
      </c>
      <c r="K50" s="117"/>
      <c r="L50" s="116" t="str">
        <f>IF('input for RPA'!I56="","",'input for RPA'!I56)</f>
        <v>Y</v>
      </c>
      <c r="M50" s="116" t="str">
        <f>IF('input for RPA'!J56="","",'input for RPA'!J56)</f>
        <v>Y</v>
      </c>
      <c r="N50" s="116">
        <f>IF('input for RPA'!K56="","",'input for RPA'!K56)</f>
        <v>1.2</v>
      </c>
      <c r="O50" s="116">
        <f>IF('input for RPA'!L56="","",'input for RPA'!L56)</f>
      </c>
      <c r="P50" s="116" t="str">
        <f t="shared" si="4"/>
        <v>N</v>
      </c>
      <c r="Q50" s="12" t="str">
        <f t="shared" si="5"/>
        <v>No detected value of B, Step 7</v>
      </c>
      <c r="R50" s="116">
        <f>'input for RPA'!O56</f>
      </c>
      <c r="S50" s="145" t="str">
        <f t="shared" si="7"/>
        <v>No</v>
      </c>
      <c r="T50" s="146" t="str">
        <f t="shared" si="6"/>
        <v>Ud;MEC&lt;C &amp; B is ND</v>
      </c>
    </row>
    <row r="51" spans="1:20" ht="12.75">
      <c r="A51" s="9">
        <v>46</v>
      </c>
      <c r="B51" s="10" t="s">
        <v>59</v>
      </c>
      <c r="C51" s="99">
        <f>Criteria!C55</f>
        <v>790</v>
      </c>
      <c r="D51" s="116" t="str">
        <f>IF('input for RPA'!C57="","",'input for RPA'!C57)</f>
        <v>Y</v>
      </c>
      <c r="E51" s="116" t="str">
        <f>IF('input for RPA'!D57="","",'input for RPA'!D57)</f>
        <v>Y</v>
      </c>
      <c r="F51" s="116">
        <f>IF('input for RPA'!E57="","",'input for RPA'!E57)</f>
        <v>10</v>
      </c>
      <c r="G51" s="116">
        <f>IF('input for RPA'!F57="","",'input for RPA'!F57)</f>
      </c>
      <c r="H51" s="12" t="str">
        <f t="shared" si="3"/>
        <v>All ND, MDL&lt;C, MEC=MDL</v>
      </c>
      <c r="I51" s="117">
        <f t="shared" si="8"/>
        <v>10</v>
      </c>
      <c r="J51" s="12" t="str">
        <f t="shared" si="9"/>
        <v>MEC&lt;C, go to Step 5</v>
      </c>
      <c r="K51" s="117"/>
      <c r="L51" s="116" t="str">
        <f>IF('input for RPA'!I57="","",'input for RPA'!I57)</f>
        <v>Y</v>
      </c>
      <c r="M51" s="116" t="str">
        <f>IF('input for RPA'!J57="","",'input for RPA'!J57)</f>
        <v>Y</v>
      </c>
      <c r="N51" s="116">
        <f>IF('input for RPA'!K57="","",'input for RPA'!K57)</f>
        <v>1.3</v>
      </c>
      <c r="O51" s="116">
        <f>IF('input for RPA'!L57="","",'input for RPA'!L57)</f>
      </c>
      <c r="P51" s="116" t="str">
        <f t="shared" si="4"/>
        <v>N</v>
      </c>
      <c r="Q51" s="12" t="str">
        <f t="shared" si="5"/>
        <v>No detected value of B, Step 7</v>
      </c>
      <c r="R51" s="116">
        <f>'input for RPA'!O57</f>
      </c>
      <c r="S51" s="145" t="str">
        <f t="shared" si="7"/>
        <v>No</v>
      </c>
      <c r="T51" s="146" t="str">
        <f t="shared" si="6"/>
        <v>Ud;MEC&lt;C &amp; B is ND</v>
      </c>
    </row>
    <row r="52" spans="1:20" ht="12.75">
      <c r="A52" s="9">
        <v>47</v>
      </c>
      <c r="B52" s="10" t="s">
        <v>60</v>
      </c>
      <c r="C52" s="99">
        <f>Criteria!C56</f>
        <v>2300</v>
      </c>
      <c r="D52" s="116" t="str">
        <f>IF('input for RPA'!C58="","",'input for RPA'!C58)</f>
        <v>Y</v>
      </c>
      <c r="E52" s="116" t="str">
        <f>IF('input for RPA'!D58="","",'input for RPA'!D58)</f>
        <v>Y</v>
      </c>
      <c r="F52" s="116">
        <f>IF('input for RPA'!E58="","",'input for RPA'!E58)</f>
        <v>10</v>
      </c>
      <c r="G52" s="116">
        <f>IF('input for RPA'!F58="","",'input for RPA'!F58)</f>
      </c>
      <c r="H52" s="12" t="str">
        <f t="shared" si="3"/>
        <v>All ND, MDL&lt;C, MEC=MDL</v>
      </c>
      <c r="I52" s="117">
        <f t="shared" si="8"/>
        <v>10</v>
      </c>
      <c r="J52" s="12" t="str">
        <f t="shared" si="9"/>
        <v>MEC&lt;C, go to Step 5</v>
      </c>
      <c r="K52" s="117"/>
      <c r="L52" s="116" t="str">
        <f>IF('input for RPA'!I58="","",'input for RPA'!I58)</f>
        <v>Y</v>
      </c>
      <c r="M52" s="116" t="str">
        <f>IF('input for RPA'!J58="","",'input for RPA'!J58)</f>
        <v>Y</v>
      </c>
      <c r="N52" s="116">
        <f>IF('input for RPA'!K58="","",'input for RPA'!K58)</f>
        <v>1.3</v>
      </c>
      <c r="O52" s="116">
        <f>IF('input for RPA'!L58="","",'input for RPA'!L58)</f>
      </c>
      <c r="P52" s="116" t="str">
        <f t="shared" si="4"/>
        <v>N</v>
      </c>
      <c r="Q52" s="12" t="str">
        <f t="shared" si="5"/>
        <v>No detected value of B, Step 7</v>
      </c>
      <c r="R52" s="116">
        <f>'input for RPA'!O58</f>
      </c>
      <c r="S52" s="145" t="str">
        <f t="shared" si="7"/>
        <v>No</v>
      </c>
      <c r="T52" s="146" t="str">
        <f t="shared" si="6"/>
        <v>Ud;MEC&lt;C &amp; B is ND</v>
      </c>
    </row>
    <row r="53" spans="1:20" ht="12.75">
      <c r="A53" s="9">
        <v>48</v>
      </c>
      <c r="B53" s="10" t="s">
        <v>61</v>
      </c>
      <c r="C53" s="99">
        <f>Criteria!C57</f>
        <v>765</v>
      </c>
      <c r="D53" s="116" t="str">
        <f>IF('input for RPA'!C59="","",'input for RPA'!C59)</f>
        <v>N</v>
      </c>
      <c r="E53" s="116">
        <f>IF('input for RPA'!D59="","",'input for RPA'!D59)</f>
      </c>
      <c r="F53" s="116">
        <f>IF('input for RPA'!E59="","",'input for RPA'!E59)</f>
      </c>
      <c r="G53" s="116">
        <f>IF('input for RPA'!F59="","",'input for RPA'!F59)</f>
      </c>
      <c r="H53" s="12" t="str">
        <f t="shared" si="3"/>
        <v>No effluent data</v>
      </c>
      <c r="I53" s="117">
        <f t="shared" si="8"/>
      </c>
      <c r="J53" s="12">
        <f t="shared" si="9"/>
      </c>
      <c r="K53" s="117"/>
      <c r="L53" s="116" t="str">
        <f>IF('input for RPA'!I59="","",'input for RPA'!I59)</f>
        <v>Y</v>
      </c>
      <c r="M53" s="116" t="str">
        <f>IF('input for RPA'!J59="","",'input for RPA'!J59)</f>
        <v>Y</v>
      </c>
      <c r="N53" s="116">
        <f>IF('input for RPA'!K59="","",'input for RPA'!K59)</f>
        <v>1.2</v>
      </c>
      <c r="O53" s="116">
        <f>IF('input for RPA'!L59="","",'input for RPA'!L59)</f>
      </c>
      <c r="P53" s="116" t="str">
        <f t="shared" si="4"/>
        <v>N</v>
      </c>
      <c r="Q53" s="12" t="str">
        <f t="shared" si="5"/>
        <v>No detected value of B, Step 7</v>
      </c>
      <c r="R53" s="116">
        <f>'input for RPA'!O59</f>
      </c>
      <c r="S53" s="145" t="str">
        <f t="shared" si="7"/>
        <v>No</v>
      </c>
      <c r="T53" s="146" t="str">
        <f t="shared" si="6"/>
        <v>Ud, no effluent data &amp; B is ND</v>
      </c>
    </row>
    <row r="54" spans="1:20" ht="12.75">
      <c r="A54" s="9">
        <v>49</v>
      </c>
      <c r="B54" s="10" t="s">
        <v>62</v>
      </c>
      <c r="C54" s="99">
        <f>Criteria!C58</f>
        <v>14000</v>
      </c>
      <c r="D54" s="116" t="str">
        <f>IF('input for RPA'!C60="","",'input for RPA'!C60)</f>
        <v>Y</v>
      </c>
      <c r="E54" s="116" t="str">
        <f>IF('input for RPA'!D60="","",'input for RPA'!D60)</f>
        <v>Y</v>
      </c>
      <c r="F54" s="116">
        <f>IF('input for RPA'!E60="","",'input for RPA'!E60)</f>
        <v>100</v>
      </c>
      <c r="G54" s="116">
        <f>IF('input for RPA'!F60="","",'input for RPA'!F60)</f>
      </c>
      <c r="H54" s="12" t="str">
        <f t="shared" si="3"/>
        <v>All ND, MDL&lt;C, MEC=MDL</v>
      </c>
      <c r="I54" s="117">
        <f t="shared" si="8"/>
        <v>100</v>
      </c>
      <c r="J54" s="12" t="str">
        <f t="shared" si="9"/>
        <v>MEC&lt;C, go to Step 5</v>
      </c>
      <c r="K54" s="117"/>
      <c r="L54" s="116" t="str">
        <f>IF('input for RPA'!I60="","",'input for RPA'!I60)</f>
        <v>Y</v>
      </c>
      <c r="M54" s="116" t="str">
        <f>IF('input for RPA'!J60="","",'input for RPA'!J60)</f>
        <v>Y</v>
      </c>
      <c r="N54" s="116">
        <f>IF('input for RPA'!K60="","",'input for RPA'!K60)</f>
        <v>0.7</v>
      </c>
      <c r="O54" s="116">
        <f>IF('input for RPA'!L60="","",'input for RPA'!L60)</f>
      </c>
      <c r="P54" s="116" t="str">
        <f t="shared" si="4"/>
        <v>N</v>
      </c>
      <c r="Q54" s="12" t="str">
        <f t="shared" si="5"/>
        <v>No detected value of B, Step 7</v>
      </c>
      <c r="R54" s="116">
        <f>'input for RPA'!O60</f>
      </c>
      <c r="S54" s="145" t="str">
        <f t="shared" si="7"/>
        <v>No</v>
      </c>
      <c r="T54" s="146" t="str">
        <f t="shared" si="6"/>
        <v>Ud;MEC&lt;C &amp; B is ND</v>
      </c>
    </row>
    <row r="55" spans="1:20" ht="12.75">
      <c r="A55" s="9">
        <v>50</v>
      </c>
      <c r="B55" s="10" t="s">
        <v>63</v>
      </c>
      <c r="C55" s="99" t="str">
        <f>Criteria!C59</f>
        <v>No Criteria</v>
      </c>
      <c r="D55" s="116" t="str">
        <f>IF('input for RPA'!C61="","",'input for RPA'!C61)</f>
        <v>Y</v>
      </c>
      <c r="E55" s="116" t="str">
        <f>IF('input for RPA'!D61="","",'input for RPA'!D61)</f>
        <v>Y</v>
      </c>
      <c r="F55" s="116">
        <f>IF('input for RPA'!E61="","",'input for RPA'!E61)</f>
        <v>10</v>
      </c>
      <c r="G55" s="116">
        <f>IF('input for RPA'!F61="","",'input for RPA'!F61)</f>
      </c>
      <c r="H55" s="12" t="str">
        <f t="shared" si="3"/>
        <v>No Criteria</v>
      </c>
      <c r="I55" s="117" t="str">
        <f t="shared" si="8"/>
        <v>No Criteria</v>
      </c>
      <c r="J55" s="12" t="str">
        <f t="shared" si="9"/>
        <v>No Criteria</v>
      </c>
      <c r="K55" s="117"/>
      <c r="L55" s="116" t="str">
        <f>IF('input for RPA'!I61="","",'input for RPA'!I61)</f>
        <v>Y</v>
      </c>
      <c r="M55" s="116" t="str">
        <f>IF('input for RPA'!J61="","",'input for RPA'!J61)</f>
        <v>Y</v>
      </c>
      <c r="N55" s="116">
        <f>IF('input for RPA'!K61="","",'input for RPA'!K61)</f>
        <v>1.3</v>
      </c>
      <c r="O55" s="116">
        <f>IF('input for RPA'!L61="","",'input for RPA'!L61)</f>
      </c>
      <c r="P55" s="116" t="str">
        <f t="shared" si="4"/>
        <v>N</v>
      </c>
      <c r="Q55" s="12" t="str">
        <f t="shared" si="5"/>
        <v>No Criteria</v>
      </c>
      <c r="R55" s="116" t="str">
        <f>'input for RPA'!O61</f>
        <v>No Criteria</v>
      </c>
      <c r="S55" s="145" t="str">
        <f t="shared" si="7"/>
        <v>Uo</v>
      </c>
      <c r="T55" s="146" t="str">
        <f t="shared" si="6"/>
        <v>No Criteria</v>
      </c>
    </row>
    <row r="56" spans="1:20" ht="12.75">
      <c r="A56" s="9">
        <v>51</v>
      </c>
      <c r="B56" s="10" t="s">
        <v>64</v>
      </c>
      <c r="C56" s="99" t="str">
        <f>Criteria!C60</f>
        <v>No Criteria</v>
      </c>
      <c r="D56" s="116" t="str">
        <f>IF('input for RPA'!C62="","",'input for RPA'!C62)</f>
        <v>Y</v>
      </c>
      <c r="E56" s="116" t="str">
        <f>IF('input for RPA'!D62="","",'input for RPA'!D62)</f>
        <v>Y</v>
      </c>
      <c r="F56" s="116">
        <f>IF('input for RPA'!E62="","",'input for RPA'!E62)</f>
        <v>20</v>
      </c>
      <c r="G56" s="116">
        <f>IF('input for RPA'!F62="","",'input for RPA'!F62)</f>
      </c>
      <c r="H56" s="12" t="str">
        <f t="shared" si="3"/>
        <v>No Criteria</v>
      </c>
      <c r="I56" s="117" t="str">
        <f t="shared" si="8"/>
        <v>No Criteria</v>
      </c>
      <c r="J56" s="12" t="str">
        <f t="shared" si="9"/>
        <v>No Criteria</v>
      </c>
      <c r="K56" s="117"/>
      <c r="L56" s="116" t="str">
        <f>IF('input for RPA'!I62="","",'input for RPA'!I62)</f>
        <v>Y</v>
      </c>
      <c r="M56" s="116" t="str">
        <f>IF('input for RPA'!J62="","",'input for RPA'!J62)</f>
        <v>Y</v>
      </c>
      <c r="N56" s="116">
        <f>IF('input for RPA'!K62="","",'input for RPA'!K62)</f>
        <v>1.6</v>
      </c>
      <c r="O56" s="116">
        <f>IF('input for RPA'!L62="","",'input for RPA'!L62)</f>
      </c>
      <c r="P56" s="116" t="str">
        <f t="shared" si="4"/>
        <v>N</v>
      </c>
      <c r="Q56" s="12" t="str">
        <f t="shared" si="5"/>
        <v>No Criteria</v>
      </c>
      <c r="R56" s="116" t="str">
        <f>'input for RPA'!O62</f>
        <v>No Criteria</v>
      </c>
      <c r="S56" s="145" t="str">
        <f t="shared" si="7"/>
        <v>Uo</v>
      </c>
      <c r="T56" s="146" t="str">
        <f t="shared" si="6"/>
        <v>No Criteria</v>
      </c>
    </row>
    <row r="57" spans="1:20" ht="12.75">
      <c r="A57" s="9">
        <v>52</v>
      </c>
      <c r="B57" s="10" t="s">
        <v>65</v>
      </c>
      <c r="C57" s="99" t="str">
        <f>Criteria!C61</f>
        <v>No Criteria</v>
      </c>
      <c r="D57" s="116" t="str">
        <f>IF('input for RPA'!C63="","",'input for RPA'!C63)</f>
        <v>N</v>
      </c>
      <c r="E57" s="116">
        <f>IF('input for RPA'!D63="","",'input for RPA'!D63)</f>
      </c>
      <c r="F57" s="116">
        <f>IF('input for RPA'!E63="","",'input for RPA'!E63)</f>
      </c>
      <c r="G57" s="116">
        <f>IF('input for RPA'!F63="","",'input for RPA'!F63)</f>
      </c>
      <c r="H57" s="12" t="str">
        <f t="shared" si="3"/>
        <v>No Criteria</v>
      </c>
      <c r="I57" s="117" t="str">
        <f t="shared" si="8"/>
        <v>No Criteria</v>
      </c>
      <c r="J57" s="12" t="str">
        <f t="shared" si="9"/>
        <v>No Criteria</v>
      </c>
      <c r="K57" s="117"/>
      <c r="L57" s="116" t="str">
        <f>IF('input for RPA'!I63="","",'input for RPA'!I63)</f>
        <v>Y</v>
      </c>
      <c r="M57" s="116" t="str">
        <f>IF('input for RPA'!J63="","",'input for RPA'!J63)</f>
        <v>Y</v>
      </c>
      <c r="N57" s="116">
        <f>IF('input for RPA'!K63="","",'input for RPA'!K63)</f>
        <v>1.1</v>
      </c>
      <c r="O57" s="116">
        <f>IF('input for RPA'!L63="","",'input for RPA'!L63)</f>
      </c>
      <c r="P57" s="116" t="str">
        <f t="shared" si="4"/>
        <v>N</v>
      </c>
      <c r="Q57" s="12" t="str">
        <f t="shared" si="5"/>
        <v>No Criteria</v>
      </c>
      <c r="R57" s="116" t="str">
        <f>'input for RPA'!O63</f>
        <v>No Criteria</v>
      </c>
      <c r="S57" s="145" t="str">
        <f t="shared" si="7"/>
        <v>Uo</v>
      </c>
      <c r="T57" s="146" t="str">
        <f t="shared" si="6"/>
        <v>No Criteria</v>
      </c>
    </row>
    <row r="58" spans="1:20" ht="12.75">
      <c r="A58" s="9">
        <v>53</v>
      </c>
      <c r="B58" s="10" t="s">
        <v>66</v>
      </c>
      <c r="C58" s="101">
        <f>Criteria!C62</f>
        <v>7.9</v>
      </c>
      <c r="D58" s="116" t="str">
        <f>IF('input for RPA'!C64="","",'input for RPA'!C64)</f>
        <v>Y</v>
      </c>
      <c r="E58" s="116" t="str">
        <f>IF('input for RPA'!D64="","",'input for RPA'!D64)</f>
        <v>Y</v>
      </c>
      <c r="F58" s="116">
        <f>IF('input for RPA'!E64="","",'input for RPA'!E64)</f>
        <v>0.5</v>
      </c>
      <c r="G58" s="116">
        <f>IF('input for RPA'!F64="","",'input for RPA'!F64)</f>
      </c>
      <c r="H58" s="12" t="str">
        <f t="shared" si="3"/>
        <v>All ND, MDL&lt;C, MEC=MDL</v>
      </c>
      <c r="I58" s="117">
        <f t="shared" si="8"/>
        <v>0.5</v>
      </c>
      <c r="J58" s="12" t="str">
        <f t="shared" si="9"/>
        <v>MEC&lt;C, go to Step 5</v>
      </c>
      <c r="K58" s="117"/>
      <c r="L58" s="116" t="str">
        <f>IF('input for RPA'!I64="","",'input for RPA'!I64)</f>
        <v>Y</v>
      </c>
      <c r="M58" s="116" t="str">
        <f>IF('input for RPA'!J64="","",'input for RPA'!J64)</f>
        <v>Y</v>
      </c>
      <c r="N58" s="116">
        <f>IF('input for RPA'!K64="","",'input for RPA'!K64)</f>
        <v>1</v>
      </c>
      <c r="O58" s="116">
        <f>IF('input for RPA'!L64="","",'input for RPA'!L64)</f>
      </c>
      <c r="P58" s="116" t="str">
        <f t="shared" si="4"/>
        <v>N</v>
      </c>
      <c r="Q58" s="12" t="str">
        <f t="shared" si="5"/>
        <v>No detected value of B, Step 7</v>
      </c>
      <c r="R58" s="116">
        <f>'input for RPA'!O64</f>
      </c>
      <c r="S58" s="145" t="str">
        <f t="shared" si="7"/>
        <v>No</v>
      </c>
      <c r="T58" s="146" t="str">
        <f t="shared" si="6"/>
        <v>Ud;MEC&lt;C &amp; B is ND</v>
      </c>
    </row>
    <row r="59" spans="1:20" ht="12.75">
      <c r="A59" s="9">
        <v>54</v>
      </c>
      <c r="B59" s="10" t="s">
        <v>67</v>
      </c>
      <c r="C59" s="99">
        <f>Criteria!C63</f>
        <v>4600000</v>
      </c>
      <c r="D59" s="116" t="str">
        <f>IF('input for RPA'!C65="","",'input for RPA'!C65)</f>
        <v>N</v>
      </c>
      <c r="E59" s="116">
        <f>IF('input for RPA'!D65="","",'input for RPA'!D65)</f>
      </c>
      <c r="F59" s="116">
        <f>IF('input for RPA'!E65="","",'input for RPA'!E65)</f>
      </c>
      <c r="G59" s="116">
        <f>IF('input for RPA'!F65="","",'input for RPA'!F65)</f>
      </c>
      <c r="H59" s="12" t="str">
        <f t="shared" si="3"/>
        <v>No effluent data</v>
      </c>
      <c r="I59" s="117">
        <f t="shared" si="8"/>
      </c>
      <c r="J59" s="12">
        <f t="shared" si="9"/>
      </c>
      <c r="K59" s="117"/>
      <c r="L59" s="116" t="str">
        <f>IF('input for RPA'!I65="","",'input for RPA'!I65)</f>
        <v>Y</v>
      </c>
      <c r="M59" s="116" t="str">
        <f>IF('input for RPA'!J65="","",'input for RPA'!J65)</f>
        <v>Y</v>
      </c>
      <c r="N59" s="116">
        <f>IF('input for RPA'!K65="","",'input for RPA'!K65)</f>
        <v>1.3</v>
      </c>
      <c r="O59" s="116">
        <f>IF('input for RPA'!L65="","",'input for RPA'!L65)</f>
      </c>
      <c r="P59" s="116" t="str">
        <f t="shared" si="4"/>
        <v>N</v>
      </c>
      <c r="Q59" s="12" t="str">
        <f t="shared" si="5"/>
        <v>No detected value of B, Step 7</v>
      </c>
      <c r="R59" s="116">
        <f>'input for RPA'!O65</f>
      </c>
      <c r="S59" s="145" t="str">
        <f t="shared" si="7"/>
        <v>No</v>
      </c>
      <c r="T59" s="146" t="str">
        <f t="shared" si="6"/>
        <v>Ud, no effluent data &amp; B is ND</v>
      </c>
    </row>
    <row r="60" spans="1:20" ht="12.75">
      <c r="A60" s="9">
        <v>55</v>
      </c>
      <c r="B60" s="10" t="s">
        <v>68</v>
      </c>
      <c r="C60" s="101">
        <f>Criteria!C64</f>
        <v>6.5</v>
      </c>
      <c r="D60" s="116" t="str">
        <f>IF('input for RPA'!C66="","",'input for RPA'!C66)</f>
        <v>N</v>
      </c>
      <c r="E60" s="116">
        <f>IF('input for RPA'!D66="","",'input for RPA'!D66)</f>
      </c>
      <c r="F60" s="116">
        <f>IF('input for RPA'!E66="","",'input for RPA'!E66)</f>
      </c>
      <c r="G60" s="116">
        <f>IF('input for RPA'!F66="","",'input for RPA'!F66)</f>
      </c>
      <c r="H60" s="12" t="str">
        <f t="shared" si="3"/>
        <v>No effluent data</v>
      </c>
      <c r="I60" s="117">
        <f t="shared" si="8"/>
      </c>
      <c r="J60" s="12">
        <f t="shared" si="9"/>
      </c>
      <c r="K60" s="117"/>
      <c r="L60" s="116" t="str">
        <f>IF('input for RPA'!I66="","",'input for RPA'!I66)</f>
        <v>Y</v>
      </c>
      <c r="M60" s="116" t="str">
        <f>IF('input for RPA'!J66="","",'input for RPA'!J66)</f>
        <v>Y</v>
      </c>
      <c r="N60" s="116">
        <f>IF('input for RPA'!K66="","",'input for RPA'!K66)</f>
        <v>1.3</v>
      </c>
      <c r="O60" s="116">
        <f>IF('input for RPA'!L66="","",'input for RPA'!L66)</f>
      </c>
      <c r="P60" s="116" t="str">
        <f t="shared" si="4"/>
        <v>N</v>
      </c>
      <c r="Q60" s="12" t="str">
        <f t="shared" si="5"/>
        <v>No detected value of B, Step 7</v>
      </c>
      <c r="R60" s="116">
        <f>'input for RPA'!O66</f>
      </c>
      <c r="S60" s="145" t="str">
        <f t="shared" si="7"/>
        <v>No</v>
      </c>
      <c r="T60" s="146" t="str">
        <f t="shared" si="6"/>
        <v>Ud, no effluent data &amp; B is ND</v>
      </c>
    </row>
    <row r="61" spans="1:20" ht="12.75">
      <c r="A61" s="9">
        <v>56</v>
      </c>
      <c r="B61" s="10" t="s">
        <v>69</v>
      </c>
      <c r="C61" s="99">
        <f>Criteria!C65</f>
        <v>2700</v>
      </c>
      <c r="D61" s="116" t="str">
        <f>IF('input for RPA'!C67="","",'input for RPA'!C67)</f>
        <v>Y</v>
      </c>
      <c r="E61" s="116" t="str">
        <f>IF('input for RPA'!D67="","",'input for RPA'!D67)</f>
        <v>Y</v>
      </c>
      <c r="F61" s="116">
        <f>IF('input for RPA'!E67="","",'input for RPA'!E67)</f>
        <v>0.03</v>
      </c>
      <c r="G61" s="116">
        <f>IF('input for RPA'!F67="","",'input for RPA'!F67)</f>
      </c>
      <c r="H61" s="12" t="str">
        <f t="shared" si="3"/>
        <v>All ND, MDL&lt;C, MEC=MDL</v>
      </c>
      <c r="I61" s="117">
        <f t="shared" si="8"/>
        <v>0.03</v>
      </c>
      <c r="J61" s="12" t="str">
        <f t="shared" si="9"/>
        <v>MEC&lt;C, go to Step 5</v>
      </c>
      <c r="K61" s="117"/>
      <c r="L61" s="116" t="str">
        <f>IF('input for RPA'!I67="","",'input for RPA'!I67)</f>
        <v>Y</v>
      </c>
      <c r="M61" s="116" t="str">
        <f>IF('input for RPA'!J67="","",'input for RPA'!J67)</f>
        <v>N</v>
      </c>
      <c r="N61" s="116">
        <f>IF('input for RPA'!K67="","",'input for RPA'!K67)</f>
      </c>
      <c r="O61" s="116">
        <f>IF('input for RPA'!L67="","",'input for RPA'!L67)</f>
        <v>0.0015</v>
      </c>
      <c r="P61" s="116">
        <f t="shared" si="4"/>
      </c>
      <c r="Q61" s="12" t="str">
        <f t="shared" si="5"/>
        <v>B&lt;C, Step 7</v>
      </c>
      <c r="R61" s="116">
        <f>'input for RPA'!O67</f>
      </c>
      <c r="S61" s="145" t="str">
        <f t="shared" si="7"/>
        <v>No</v>
      </c>
      <c r="T61" s="146" t="str">
        <f t="shared" si="6"/>
        <v>MEC&lt;C &amp; B&lt;C</v>
      </c>
    </row>
    <row r="62" spans="1:20" ht="12.75">
      <c r="A62" s="9">
        <v>57</v>
      </c>
      <c r="B62" s="10" t="s">
        <v>70</v>
      </c>
      <c r="C62" s="99" t="str">
        <f>Criteria!C66</f>
        <v>No Criteria</v>
      </c>
      <c r="D62" s="116" t="str">
        <f>IF('input for RPA'!C68="","",'input for RPA'!C68)</f>
        <v>Y</v>
      </c>
      <c r="E62" s="116" t="str">
        <f>IF('input for RPA'!D68="","",'input for RPA'!D68)</f>
        <v>Y</v>
      </c>
      <c r="F62" s="116">
        <f>IF('input for RPA'!E68="","",'input for RPA'!E68)</f>
        <v>0.07</v>
      </c>
      <c r="G62" s="116">
        <f>IF('input for RPA'!F68="","",'input for RPA'!F68)</f>
      </c>
      <c r="H62" s="12" t="str">
        <f t="shared" si="3"/>
        <v>No Criteria</v>
      </c>
      <c r="I62" s="117" t="str">
        <f t="shared" si="8"/>
        <v>No Criteria</v>
      </c>
      <c r="J62" s="12" t="str">
        <f t="shared" si="9"/>
        <v>No Criteria</v>
      </c>
      <c r="K62" s="117"/>
      <c r="L62" s="116" t="str">
        <f>IF('input for RPA'!I68="","",'input for RPA'!I68)</f>
        <v>Y</v>
      </c>
      <c r="M62" s="116" t="str">
        <f>IF('input for RPA'!J68="","",'input for RPA'!J68)</f>
        <v>N</v>
      </c>
      <c r="N62" s="116">
        <f>IF('input for RPA'!K68="","",'input for RPA'!K68)</f>
      </c>
      <c r="O62" s="116">
        <f>IF('input for RPA'!L68="","",'input for RPA'!L68)</f>
        <v>0.00053</v>
      </c>
      <c r="P62" s="116">
        <f t="shared" si="4"/>
      </c>
      <c r="Q62" s="12" t="str">
        <f t="shared" si="5"/>
        <v>No Criteria</v>
      </c>
      <c r="R62" s="116" t="str">
        <f>'input for RPA'!O68</f>
        <v>No Criteria</v>
      </c>
      <c r="S62" s="145" t="str">
        <f t="shared" si="7"/>
        <v>Uo</v>
      </c>
      <c r="T62" s="146" t="str">
        <f t="shared" si="6"/>
        <v>No Criteria</v>
      </c>
    </row>
    <row r="63" spans="1:20" ht="12.75">
      <c r="A63" s="9">
        <v>58</v>
      </c>
      <c r="B63" s="10" t="s">
        <v>71</v>
      </c>
      <c r="C63" s="99">
        <f>Criteria!C67</f>
        <v>110000</v>
      </c>
      <c r="D63" s="116" t="str">
        <f>IF('input for RPA'!C69="","",'input for RPA'!C69)</f>
        <v>Y</v>
      </c>
      <c r="E63" s="116" t="str">
        <f>IF('input for RPA'!D69="","",'input for RPA'!D69)</f>
        <v>N</v>
      </c>
      <c r="F63" s="116">
        <f>IF('input for RPA'!E69="","",'input for RPA'!E69)</f>
      </c>
      <c r="G63" s="116">
        <f>IF('input for RPA'!F69="","",'input for RPA'!F69)</f>
        <v>0.005</v>
      </c>
      <c r="H63" s="12">
        <f t="shared" si="3"/>
      </c>
      <c r="I63" s="117">
        <f t="shared" si="8"/>
        <v>0.005</v>
      </c>
      <c r="J63" s="12" t="str">
        <f t="shared" si="9"/>
        <v>MEC&lt;C, go to Step 5</v>
      </c>
      <c r="K63" s="117"/>
      <c r="L63" s="116" t="str">
        <f>IF('input for RPA'!I69="","",'input for RPA'!I69)</f>
        <v>Y</v>
      </c>
      <c r="M63" s="116" t="str">
        <f>IF('input for RPA'!J69="","",'input for RPA'!J69)</f>
        <v>N</v>
      </c>
      <c r="N63" s="116">
        <f>IF('input for RPA'!K69="","",'input for RPA'!K69)</f>
      </c>
      <c r="O63" s="116">
        <f>IF('input for RPA'!L69="","",'input for RPA'!L69)</f>
        <v>0.0005</v>
      </c>
      <c r="P63" s="116">
        <f t="shared" si="4"/>
      </c>
      <c r="Q63" s="12" t="str">
        <f t="shared" si="5"/>
        <v>B&lt;C, Step 7</v>
      </c>
      <c r="R63" s="116">
        <f>'input for RPA'!O69</f>
      </c>
      <c r="S63" s="145" t="str">
        <f t="shared" si="7"/>
        <v>No</v>
      </c>
      <c r="T63" s="146" t="str">
        <f t="shared" si="6"/>
        <v>MEC&lt;C &amp; B&lt;C</v>
      </c>
    </row>
    <row r="64" spans="1:20" ht="12.75">
      <c r="A64" s="9">
        <v>59</v>
      </c>
      <c r="B64" s="10" t="s">
        <v>72</v>
      </c>
      <c r="C64" s="105">
        <f>Criteria!C68</f>
        <v>0.00054</v>
      </c>
      <c r="D64" s="116" t="str">
        <f>IF('input for RPA'!C70="","",'input for RPA'!C70)</f>
        <v>Y</v>
      </c>
      <c r="E64" s="116" t="str">
        <f>IF('input for RPA'!D70="","",'input for RPA'!D70)</f>
        <v>Y</v>
      </c>
      <c r="F64" s="116">
        <f>IF('input for RPA'!E70="","",'input for RPA'!E70)</f>
        <v>100</v>
      </c>
      <c r="G64" s="116">
        <f>IF('input for RPA'!F70="","",'input for RPA'!F70)</f>
      </c>
      <c r="H64" s="12" t="str">
        <f t="shared" si="3"/>
        <v>All ND, MinDL&gt;C, Go to Step 5, &amp; IM</v>
      </c>
      <c r="I64" s="117">
        <f t="shared" si="8"/>
      </c>
      <c r="J64" s="12">
        <f t="shared" si="9"/>
      </c>
      <c r="K64" s="117"/>
      <c r="L64" s="116" t="str">
        <f>IF('input for RPA'!I70="","",'input for RPA'!I70)</f>
        <v>Y</v>
      </c>
      <c r="M64" s="116" t="str">
        <f>IF('input for RPA'!J70="","",'input for RPA'!J70)</f>
        <v>Y</v>
      </c>
      <c r="N64" s="116">
        <f>IF('input for RPA'!K70="","",'input for RPA'!K70)</f>
        <v>0.0015</v>
      </c>
      <c r="O64" s="116">
        <f>IF('input for RPA'!L70="","",'input for RPA'!L70)</f>
      </c>
      <c r="P64" s="116" t="str">
        <f t="shared" si="4"/>
        <v>Y</v>
      </c>
      <c r="Q64" s="12" t="str">
        <f t="shared" si="5"/>
        <v>No detected value of B, Step 7</v>
      </c>
      <c r="R64" s="116">
        <f>'input for RPA'!O70</f>
      </c>
      <c r="S64" s="145" t="str">
        <f t="shared" si="7"/>
        <v>No</v>
      </c>
      <c r="T64" s="146" t="str">
        <f t="shared" si="6"/>
        <v>UD; effluent data and B are ND</v>
      </c>
    </row>
    <row r="65" spans="1:20" ht="12.75">
      <c r="A65" s="9">
        <v>60</v>
      </c>
      <c r="B65" s="10" t="s">
        <v>73</v>
      </c>
      <c r="C65" s="102">
        <f>Criteria!C69</f>
        <v>0.049</v>
      </c>
      <c r="D65" s="116" t="str">
        <f>IF('input for RPA'!C71="","",'input for RPA'!C71)</f>
        <v>Y</v>
      </c>
      <c r="E65" s="116" t="str">
        <f>IF('input for RPA'!D71="","",'input for RPA'!D71)</f>
        <v>Y</v>
      </c>
      <c r="F65" s="116">
        <f>IF('input for RPA'!E71="","",'input for RPA'!E71)</f>
        <v>0.007</v>
      </c>
      <c r="G65" s="116">
        <f>IF('input for RPA'!F71="","",'input for RPA'!F71)</f>
      </c>
      <c r="H65" s="12" t="str">
        <f t="shared" si="3"/>
        <v>All ND, MDL&lt;C, MEC=MDL</v>
      </c>
      <c r="I65" s="117">
        <f t="shared" si="8"/>
        <v>0.007</v>
      </c>
      <c r="J65" s="12" t="str">
        <f t="shared" si="9"/>
        <v>MEC&lt;C, go to Step 5</v>
      </c>
      <c r="K65" s="117"/>
      <c r="L65" s="116" t="str">
        <f>IF('input for RPA'!I71="","",'input for RPA'!I71)</f>
        <v>Y</v>
      </c>
      <c r="M65" s="116" t="str">
        <f>IF('input for RPA'!J71="","",'input for RPA'!J71)</f>
        <v>N</v>
      </c>
      <c r="N65" s="116">
        <f>IF('input for RPA'!K71="","",'input for RPA'!K71)</f>
      </c>
      <c r="O65" s="116">
        <f>IF('input for RPA'!L71="","",'input for RPA'!L71)</f>
        <v>0.0053</v>
      </c>
      <c r="P65" s="116">
        <f t="shared" si="4"/>
      </c>
      <c r="Q65" s="12" t="str">
        <f t="shared" si="5"/>
        <v>B&lt;C, Step 7</v>
      </c>
      <c r="R65" s="116">
        <f>'input for RPA'!O71</f>
      </c>
      <c r="S65" s="145" t="str">
        <f t="shared" si="7"/>
        <v>No</v>
      </c>
      <c r="T65" s="146" t="str">
        <f t="shared" si="6"/>
        <v>MEC&lt;C &amp; B&lt;C</v>
      </c>
    </row>
    <row r="66" spans="1:20" ht="12.75">
      <c r="A66" s="9">
        <v>61</v>
      </c>
      <c r="B66" s="10" t="s">
        <v>74</v>
      </c>
      <c r="C66" s="102">
        <f>Criteria!C70</f>
        <v>0.049</v>
      </c>
      <c r="D66" s="116" t="str">
        <f>IF('input for RPA'!C72="","",'input for RPA'!C72)</f>
        <v>Y</v>
      </c>
      <c r="E66" s="116" t="str">
        <f>IF('input for RPA'!D72="","",'input for RPA'!D72)</f>
        <v>Y</v>
      </c>
      <c r="F66" s="116">
        <f>IF('input for RPA'!E72="","",'input for RPA'!E72)</f>
        <v>0.01</v>
      </c>
      <c r="G66" s="116">
        <f>IF('input for RPA'!F72="","",'input for RPA'!F72)</f>
      </c>
      <c r="H66" s="12" t="str">
        <f t="shared" si="3"/>
        <v>All ND, MDL&lt;C, MEC=MDL</v>
      </c>
      <c r="I66" s="117">
        <f t="shared" si="8"/>
        <v>0.01</v>
      </c>
      <c r="J66" s="12" t="str">
        <f t="shared" si="9"/>
        <v>MEC&lt;C, go to Step 5</v>
      </c>
      <c r="K66" s="117"/>
      <c r="L66" s="116" t="str">
        <f>IF('input for RPA'!I72="","",'input for RPA'!I72)</f>
        <v>Y</v>
      </c>
      <c r="M66" s="116" t="str">
        <f>IF('input for RPA'!J72="","",'input for RPA'!J72)</f>
        <v>N</v>
      </c>
      <c r="N66" s="116">
        <f>IF('input for RPA'!K72="","",'input for RPA'!K72)</f>
      </c>
      <c r="O66" s="116">
        <f>IF('input for RPA'!L72="","",'input for RPA'!L72)</f>
        <v>0.00029</v>
      </c>
      <c r="P66" s="116">
        <f t="shared" si="4"/>
      </c>
      <c r="Q66" s="12" t="str">
        <f t="shared" si="5"/>
        <v>B&lt;C, Step 7</v>
      </c>
      <c r="R66" s="116">
        <f>'input for RPA'!O72</f>
      </c>
      <c r="S66" s="145" t="str">
        <f t="shared" si="7"/>
        <v>No</v>
      </c>
      <c r="T66" s="146" t="str">
        <f t="shared" si="6"/>
        <v>MEC&lt;C &amp; B&lt;C</v>
      </c>
    </row>
    <row r="67" spans="1:20" ht="12.75">
      <c r="A67" s="9">
        <v>62</v>
      </c>
      <c r="B67" s="10" t="s">
        <v>75</v>
      </c>
      <c r="C67" s="102">
        <f>Criteria!C71</f>
        <v>0.049</v>
      </c>
      <c r="D67" s="116" t="str">
        <f>IF('input for RPA'!C73="","",'input for RPA'!C73)</f>
        <v>Y</v>
      </c>
      <c r="E67" s="116" t="str">
        <f>IF('input for RPA'!D73="","",'input for RPA'!D73)</f>
        <v>Y</v>
      </c>
      <c r="F67" s="116">
        <f>IF('input for RPA'!E73="","",'input for RPA'!E73)</f>
        <v>0.003</v>
      </c>
      <c r="G67" s="116">
        <f>IF('input for RPA'!F73="","",'input for RPA'!F73)</f>
      </c>
      <c r="H67" s="12" t="str">
        <f t="shared" si="3"/>
        <v>All ND, MDL&lt;C, MEC=MDL</v>
      </c>
      <c r="I67" s="117">
        <f t="shared" si="8"/>
        <v>0.003</v>
      </c>
      <c r="J67" s="12" t="str">
        <f t="shared" si="9"/>
        <v>MEC&lt;C, go to Step 5</v>
      </c>
      <c r="K67" s="117"/>
      <c r="L67" s="116" t="str">
        <f>IF('input for RPA'!I73="","",'input for RPA'!I73)</f>
        <v>Y</v>
      </c>
      <c r="M67" s="116" t="str">
        <f>IF('input for RPA'!J73="","",'input for RPA'!J73)</f>
        <v>N</v>
      </c>
      <c r="N67" s="116">
        <f>IF('input for RPA'!K73="","",'input for RPA'!K73)</f>
      </c>
      <c r="O67" s="116">
        <f>IF('input for RPA'!L73="","",'input for RPA'!L73)</f>
        <v>0.0046</v>
      </c>
      <c r="P67" s="116">
        <f t="shared" si="4"/>
      </c>
      <c r="Q67" s="12" t="str">
        <f t="shared" si="5"/>
        <v>B&lt;C, Step 7</v>
      </c>
      <c r="R67" s="116">
        <f>'input for RPA'!O73</f>
      </c>
      <c r="S67" s="145" t="str">
        <f t="shared" si="7"/>
        <v>No</v>
      </c>
      <c r="T67" s="146" t="str">
        <f t="shared" si="6"/>
        <v>MEC&lt;C &amp; B&lt;C</v>
      </c>
    </row>
    <row r="68" spans="1:20" ht="12.75">
      <c r="A68" s="9">
        <v>63</v>
      </c>
      <c r="B68" s="10" t="s">
        <v>76</v>
      </c>
      <c r="C68" s="99" t="str">
        <f>Criteria!C72</f>
        <v>No Criteria</v>
      </c>
      <c r="D68" s="116" t="str">
        <f>IF('input for RPA'!C74="","",'input for RPA'!C74)</f>
        <v>Y</v>
      </c>
      <c r="E68" s="116" t="str">
        <f>IF('input for RPA'!D74="","",'input for RPA'!D74)</f>
        <v>Y</v>
      </c>
      <c r="F68" s="116">
        <f>IF('input for RPA'!E74="","",'input for RPA'!E74)</f>
        <v>0.01</v>
      </c>
      <c r="G68" s="116">
        <f>IF('input for RPA'!F74="","",'input for RPA'!F74)</f>
      </c>
      <c r="H68" s="12" t="str">
        <f t="shared" si="3"/>
        <v>No Criteria</v>
      </c>
      <c r="I68" s="117" t="str">
        <f t="shared" si="8"/>
        <v>No Criteria</v>
      </c>
      <c r="J68" s="12" t="str">
        <f t="shared" si="9"/>
        <v>No Criteria</v>
      </c>
      <c r="K68" s="117"/>
      <c r="L68" s="116" t="str">
        <f>IF('input for RPA'!I74="","",'input for RPA'!I74)</f>
        <v>Y</v>
      </c>
      <c r="M68" s="116" t="str">
        <f>IF('input for RPA'!J74="","",'input for RPA'!J74)</f>
        <v>N</v>
      </c>
      <c r="N68" s="116">
        <f>IF('input for RPA'!K74="","",'input for RPA'!K74)</f>
      </c>
      <c r="O68" s="116">
        <f>IF('input for RPA'!L74="","",'input for RPA'!L74)</f>
        <v>0.0027</v>
      </c>
      <c r="P68" s="116">
        <f t="shared" si="4"/>
      </c>
      <c r="Q68" s="12" t="str">
        <f t="shared" si="5"/>
        <v>No Criteria</v>
      </c>
      <c r="R68" s="116" t="str">
        <f>'input for RPA'!O74</f>
        <v>No Criteria</v>
      </c>
      <c r="S68" s="145" t="str">
        <f t="shared" si="7"/>
        <v>Uo</v>
      </c>
      <c r="T68" s="146" t="str">
        <f t="shared" si="6"/>
        <v>No Criteria</v>
      </c>
    </row>
    <row r="69" spans="1:20" ht="12.75">
      <c r="A69" s="9">
        <v>64</v>
      </c>
      <c r="B69" s="10" t="s">
        <v>77</v>
      </c>
      <c r="C69" s="102">
        <f>Criteria!C73</f>
        <v>0.049</v>
      </c>
      <c r="D69" s="116" t="str">
        <f>IF('input for RPA'!C75="","",'input for RPA'!C75)</f>
        <v>Y</v>
      </c>
      <c r="E69" s="116" t="str">
        <f>IF('input for RPA'!D75="","",'input for RPA'!D75)</f>
        <v>Y</v>
      </c>
      <c r="F69" s="116">
        <f>IF('input for RPA'!E75="","",'input for RPA'!E75)</f>
        <v>0.001</v>
      </c>
      <c r="G69" s="116">
        <f>IF('input for RPA'!F75="","",'input for RPA'!F75)</f>
      </c>
      <c r="H69" s="12" t="str">
        <f t="shared" si="3"/>
        <v>All ND, MDL&lt;C, MEC=MDL</v>
      </c>
      <c r="I69" s="117">
        <f aca="true" t="shared" si="10" ref="I69:I100">IF(C69="No Criteria","No Criteria",IF(D69="N","",IF(E69="N",G69,IF(H69="All ND, MDL&lt;C, MEC=MDL",F69,""))))</f>
        <v>0.001</v>
      </c>
      <c r="J69" s="12" t="str">
        <f aca="true" t="shared" si="11" ref="J69:J100">IF(C69="No Criteria","No Criteria",IF(I69="","",IF(I69&gt;=C69,"MEC&gt;=C, Effluent Limits Required","MEC&lt;C, go to Step 5")))</f>
        <v>MEC&lt;C, go to Step 5</v>
      </c>
      <c r="K69" s="117"/>
      <c r="L69" s="116" t="str">
        <f>IF('input for RPA'!I75="","",'input for RPA'!I75)</f>
        <v>Y</v>
      </c>
      <c r="M69" s="116" t="str">
        <f>IF('input for RPA'!J75="","",'input for RPA'!J75)</f>
        <v>N</v>
      </c>
      <c r="N69" s="116">
        <f>IF('input for RPA'!K75="","",'input for RPA'!K75)</f>
      </c>
      <c r="O69" s="116">
        <f>IF('input for RPA'!L75="","",'input for RPA'!L75)</f>
        <v>0.0015</v>
      </c>
      <c r="P69" s="116">
        <f t="shared" si="4"/>
      </c>
      <c r="Q69" s="12" t="str">
        <f t="shared" si="5"/>
        <v>B&lt;C, Step 7</v>
      </c>
      <c r="R69" s="116">
        <f>'input for RPA'!O75</f>
      </c>
      <c r="S69" s="145" t="str">
        <f t="shared" si="7"/>
        <v>No</v>
      </c>
      <c r="T69" s="146" t="str">
        <f t="shared" si="6"/>
        <v>MEC&lt;C &amp; B&lt;C</v>
      </c>
    </row>
    <row r="70" spans="1:20" ht="12.75">
      <c r="A70" s="9">
        <v>65</v>
      </c>
      <c r="B70" s="10" t="s">
        <v>78</v>
      </c>
      <c r="C70" s="99" t="str">
        <f>Criteria!C74</f>
        <v>No Criteria</v>
      </c>
      <c r="D70" s="116" t="str">
        <f>IF('input for RPA'!C76="","",'input for RPA'!C76)</f>
        <v>Y</v>
      </c>
      <c r="E70" s="116" t="str">
        <f>IF('input for RPA'!D76="","",'input for RPA'!D76)</f>
        <v>Y</v>
      </c>
      <c r="F70" s="116">
        <f>IF('input for RPA'!E76="","",'input for RPA'!E76)</f>
        <v>20</v>
      </c>
      <c r="G70" s="116">
        <f>IF('input for RPA'!F76="","",'input for RPA'!F76)</f>
      </c>
      <c r="H70" s="12" t="str">
        <f aca="true" t="shared" si="12" ref="H70:H125">IF(C70="No Criteria","No Criteria",IF(D70="N","No effluent data",IF(E70="N","",IF(F70&lt;C70,"All ND, MDL&lt;C, MEC=MDL","All ND, MinDL&gt;C, Go to Step 5, &amp; IM"))))</f>
        <v>No Criteria</v>
      </c>
      <c r="I70" s="117" t="str">
        <f t="shared" si="10"/>
        <v>No Criteria</v>
      </c>
      <c r="J70" s="12" t="str">
        <f t="shared" si="11"/>
        <v>No Criteria</v>
      </c>
      <c r="K70" s="117"/>
      <c r="L70" s="116" t="str">
        <f>IF('input for RPA'!I76="","",'input for RPA'!I76)</f>
        <v>Y</v>
      </c>
      <c r="M70" s="116" t="str">
        <f>IF('input for RPA'!J76="","",'input for RPA'!J76)</f>
        <v>Y</v>
      </c>
      <c r="N70" s="116">
        <f>IF('input for RPA'!K76="","",'input for RPA'!K76)</f>
        <v>0.3</v>
      </c>
      <c r="O70" s="116">
        <f>IF('input for RPA'!L76="","",'input for RPA'!L76)</f>
      </c>
      <c r="P70" s="116" t="str">
        <f aca="true" t="shared" si="13" ref="P70:P126">IF(N70="","",IF(N70&gt;C70,"Y","N"))</f>
        <v>N</v>
      </c>
      <c r="Q70" s="12" t="str">
        <f aca="true" t="shared" si="14" ref="Q70:Q126">IF(C70="No Criteria","No Criteria",IF(O70="","No detected value of B, Step 7",IF(O70&gt;C70,"B&gt;C, Effluent Limit Required","B&lt;C, Step 7")))</f>
        <v>No Criteria</v>
      </c>
      <c r="R70" s="116" t="str">
        <f>'input for RPA'!O76</f>
        <v>No Criteria</v>
      </c>
      <c r="S70" s="145" t="str">
        <f t="shared" si="7"/>
        <v>Uo</v>
      </c>
      <c r="T70" s="146" t="str">
        <f aca="true" t="shared" si="15" ref="T70:T126">IF(C70="No Criteria","No Criteria",IF(D70="N",IF(L70="N","no effluent data &amp; no B",IF(M70="Y","Ud, no effluent data &amp; B is ND",IF(O70&gt;C70,"B&gt;C","no effluent data &amp; B&lt;C"))),IF(H70="All ND, MinDL&gt;C, Go to Step 5, &amp; IM",IF(L70="N","MDL&gt;C &amp; No B",IF(M70="Y","UD; effluent data and B are ND",IF(O70&gt;C70,"B&gt;C","UD; effluent data ND, MDL&gt;C &amp; B&lt;C"))),IF(I70="No Criteria","No Criteria",IF(I70&gt;C70,"MEC&gt;C",IF(M70="N",IF(O70&gt;C70,"B&gt;C","MEC&lt;C &amp; B&lt;C"),"Ud;MEC&lt;C &amp; B is ND"))))))</f>
        <v>No Criteria</v>
      </c>
    </row>
    <row r="71" spans="1:20" ht="12.75">
      <c r="A71" s="9">
        <v>66</v>
      </c>
      <c r="B71" s="10" t="s">
        <v>79</v>
      </c>
      <c r="C71" s="101">
        <f>Criteria!C75</f>
        <v>1.4</v>
      </c>
      <c r="D71" s="116" t="str">
        <f>IF('input for RPA'!C77="","",'input for RPA'!C77)</f>
        <v>Y</v>
      </c>
      <c r="E71" s="116" t="str">
        <f>IF('input for RPA'!D77="","",'input for RPA'!D77)</f>
        <v>Y</v>
      </c>
      <c r="F71" s="116">
        <f>IF('input for RPA'!E77="","",'input for RPA'!E77)</f>
        <v>20</v>
      </c>
      <c r="G71" s="116">
        <f>IF('input for RPA'!F77="","",'input for RPA'!F77)</f>
      </c>
      <c r="H71" s="12" t="str">
        <f t="shared" si="12"/>
        <v>All ND, MinDL&gt;C, Go to Step 5, &amp; IM</v>
      </c>
      <c r="I71" s="117">
        <f t="shared" si="10"/>
      </c>
      <c r="J71" s="12">
        <f t="shared" si="11"/>
      </c>
      <c r="K71" s="117"/>
      <c r="L71" s="116" t="str">
        <f>IF('input for RPA'!I77="","",'input for RPA'!I77)</f>
        <v>Y</v>
      </c>
      <c r="M71" s="116" t="str">
        <f>IF('input for RPA'!J77="","",'input for RPA'!J77)</f>
        <v>Y</v>
      </c>
      <c r="N71" s="116">
        <f>IF('input for RPA'!K77="","",'input for RPA'!K77)</f>
        <v>0.3</v>
      </c>
      <c r="O71" s="116">
        <f>IF('input for RPA'!L77="","",'input for RPA'!L77)</f>
      </c>
      <c r="P71" s="116" t="str">
        <f t="shared" si="13"/>
        <v>N</v>
      </c>
      <c r="Q71" s="12" t="str">
        <f t="shared" si="14"/>
        <v>No detected value of B, Step 7</v>
      </c>
      <c r="R71" s="116">
        <f>'input for RPA'!O77</f>
      </c>
      <c r="S71" s="145" t="str">
        <f t="shared" si="7"/>
        <v>No</v>
      </c>
      <c r="T71" s="146" t="str">
        <f t="shared" si="15"/>
        <v>UD; effluent data and B are ND</v>
      </c>
    </row>
    <row r="72" spans="1:20" ht="12.75">
      <c r="A72" s="9">
        <v>67</v>
      </c>
      <c r="B72" s="10" t="s">
        <v>80</v>
      </c>
      <c r="C72" s="99">
        <f>Criteria!C76</f>
        <v>170000</v>
      </c>
      <c r="D72" s="116" t="str">
        <f>IF('input for RPA'!C78="","",'input for RPA'!C78)</f>
        <v>Y</v>
      </c>
      <c r="E72" s="116" t="str">
        <f>IF('input for RPA'!D78="","",'input for RPA'!D78)</f>
        <v>Y</v>
      </c>
      <c r="F72" s="116">
        <f>IF('input for RPA'!E78="","",'input for RPA'!E78)</f>
        <v>20</v>
      </c>
      <c r="G72" s="116">
        <f>IF('input for RPA'!F78="","",'input for RPA'!F78)</f>
      </c>
      <c r="H72" s="12" t="str">
        <f t="shared" si="12"/>
        <v>All ND, MDL&lt;C, MEC=MDL</v>
      </c>
      <c r="I72" s="117">
        <f t="shared" si="10"/>
        <v>20</v>
      </c>
      <c r="J72" s="12" t="str">
        <f t="shared" si="11"/>
        <v>MEC&lt;C, go to Step 5</v>
      </c>
      <c r="K72" s="117"/>
      <c r="L72" s="116" t="str">
        <f>IF('input for RPA'!I78="","",'input for RPA'!I78)</f>
        <v>N</v>
      </c>
      <c r="M72" s="116">
        <f>IF('input for RPA'!J78="","",'input for RPA'!J78)</f>
      </c>
      <c r="N72" s="116">
        <f>IF('input for RPA'!K78="","",'input for RPA'!K78)</f>
      </c>
      <c r="O72" s="116">
        <f>IF('input for RPA'!L78="","",'input for RPA'!L78)</f>
      </c>
      <c r="P72" s="116">
        <f t="shared" si="13"/>
      </c>
      <c r="Q72" s="12" t="str">
        <f t="shared" si="14"/>
        <v>No detected value of B, Step 7</v>
      </c>
      <c r="R72" s="116">
        <f>'input for RPA'!O78</f>
      </c>
      <c r="S72" s="145" t="str">
        <f t="shared" si="7"/>
        <v>No</v>
      </c>
      <c r="T72" s="146" t="str">
        <f t="shared" si="15"/>
        <v>Ud;MEC&lt;C &amp; B is ND</v>
      </c>
    </row>
    <row r="73" spans="1:20" ht="12.75">
      <c r="A73" s="9">
        <v>68</v>
      </c>
      <c r="B73" s="10" t="s">
        <v>81</v>
      </c>
      <c r="C73" s="101">
        <f>Criteria!C77</f>
        <v>5.9</v>
      </c>
      <c r="D73" s="116" t="str">
        <f>IF('input for RPA'!C79="","",'input for RPA'!C79)</f>
        <v>N</v>
      </c>
      <c r="E73" s="116">
        <f>IF('input for RPA'!D79="","",'input for RPA'!D79)</f>
      </c>
      <c r="F73" s="116">
        <f>IF('input for RPA'!E79="","",'input for RPA'!E79)</f>
      </c>
      <c r="G73" s="116">
        <f>IF('input for RPA'!F79="","",'input for RPA'!F79)</f>
      </c>
      <c r="H73" s="12" t="str">
        <f t="shared" si="12"/>
        <v>No effluent data</v>
      </c>
      <c r="I73" s="117">
        <f t="shared" si="10"/>
      </c>
      <c r="J73" s="12">
        <f t="shared" si="11"/>
      </c>
      <c r="K73" s="117"/>
      <c r="L73" s="116" t="str">
        <f>IF('input for RPA'!I79="","",'input for RPA'!I79)</f>
        <v>Y</v>
      </c>
      <c r="M73" s="116" t="str">
        <f>IF('input for RPA'!J79="","",'input for RPA'!J79)</f>
        <v>Y</v>
      </c>
      <c r="N73" s="116">
        <f>IF('input for RPA'!K79="","",'input for RPA'!K79)</f>
        <v>0.5</v>
      </c>
      <c r="O73" s="116">
        <f>IF('input for RPA'!L79="","",'input for RPA'!L79)</f>
      </c>
      <c r="P73" s="116" t="str">
        <f t="shared" si="13"/>
        <v>N</v>
      </c>
      <c r="Q73" s="12" t="str">
        <f t="shared" si="14"/>
        <v>No detected value of B, Step 7</v>
      </c>
      <c r="R73" s="116">
        <f>'input for RPA'!O79</f>
      </c>
      <c r="S73" s="145" t="str">
        <f t="shared" si="7"/>
        <v>No</v>
      </c>
      <c r="T73" s="146" t="str">
        <f t="shared" si="15"/>
        <v>Ud, no effluent data &amp; B is ND</v>
      </c>
    </row>
    <row r="74" spans="1:20" ht="12.75">
      <c r="A74" s="9">
        <v>69</v>
      </c>
      <c r="B74" s="10" t="s">
        <v>82</v>
      </c>
      <c r="C74" s="99" t="str">
        <f>Criteria!C78</f>
        <v>No Criteria</v>
      </c>
      <c r="D74" s="116" t="str">
        <f>IF('input for RPA'!C80="","",'input for RPA'!C80)</f>
        <v>Y</v>
      </c>
      <c r="E74" s="116" t="str">
        <f>IF('input for RPA'!D80="","",'input for RPA'!D80)</f>
        <v>Y</v>
      </c>
      <c r="F74" s="116">
        <f>IF('input for RPA'!E80="","",'input for RPA'!E80)</f>
        <v>10</v>
      </c>
      <c r="G74" s="116">
        <f>IF('input for RPA'!F80="","",'input for RPA'!F80)</f>
      </c>
      <c r="H74" s="12" t="str">
        <f t="shared" si="12"/>
        <v>No Criteria</v>
      </c>
      <c r="I74" s="117" t="str">
        <f t="shared" si="10"/>
        <v>No Criteria</v>
      </c>
      <c r="J74" s="12" t="str">
        <f t="shared" si="11"/>
        <v>No Criteria</v>
      </c>
      <c r="K74" s="117"/>
      <c r="L74" s="116" t="str">
        <f>IF('input for RPA'!I80="","",'input for RPA'!I80)</f>
        <v>Y</v>
      </c>
      <c r="M74" s="116" t="str">
        <f>IF('input for RPA'!J80="","",'input for RPA'!J80)</f>
        <v>Y</v>
      </c>
      <c r="N74" s="116">
        <f>IF('input for RPA'!K80="","",'input for RPA'!K80)</f>
        <v>0.23</v>
      </c>
      <c r="O74" s="116">
        <f>IF('input for RPA'!L80="","",'input for RPA'!L80)</f>
      </c>
      <c r="P74" s="116" t="str">
        <f t="shared" si="13"/>
        <v>N</v>
      </c>
      <c r="Q74" s="12" t="str">
        <f t="shared" si="14"/>
        <v>No Criteria</v>
      </c>
      <c r="R74" s="116" t="str">
        <f>'input for RPA'!O80</f>
        <v>No Criteria</v>
      </c>
      <c r="S74" s="145" t="str">
        <f t="shared" si="7"/>
        <v>Uo</v>
      </c>
      <c r="T74" s="146" t="str">
        <f t="shared" si="15"/>
        <v>No Criteria</v>
      </c>
    </row>
    <row r="75" spans="1:20" ht="12.75">
      <c r="A75" s="9">
        <v>70</v>
      </c>
      <c r="B75" s="10" t="s">
        <v>83</v>
      </c>
      <c r="C75" s="99">
        <f>Criteria!C79</f>
        <v>5200</v>
      </c>
      <c r="D75" s="116" t="str">
        <f>IF('input for RPA'!C81="","",'input for RPA'!C81)</f>
        <v>Y</v>
      </c>
      <c r="E75" s="116" t="str">
        <f>IF('input for RPA'!D81="","",'input for RPA'!D81)</f>
        <v>Y</v>
      </c>
      <c r="F75" s="116">
        <f>IF('input for RPA'!E81="","",'input for RPA'!E81)</f>
        <v>10</v>
      </c>
      <c r="G75" s="116">
        <f>IF('input for RPA'!F81="","",'input for RPA'!F81)</f>
      </c>
      <c r="H75" s="12" t="str">
        <f t="shared" si="12"/>
        <v>All ND, MDL&lt;C, MEC=MDL</v>
      </c>
      <c r="I75" s="117">
        <f t="shared" si="10"/>
        <v>10</v>
      </c>
      <c r="J75" s="12" t="str">
        <f t="shared" si="11"/>
        <v>MEC&lt;C, go to Step 5</v>
      </c>
      <c r="K75" s="117"/>
      <c r="L75" s="116" t="str">
        <f>IF('input for RPA'!I81="","",'input for RPA'!I81)</f>
        <v>Y</v>
      </c>
      <c r="M75" s="116" t="str">
        <f>IF('input for RPA'!J81="","",'input for RPA'!J81)</f>
        <v>Y</v>
      </c>
      <c r="N75" s="116">
        <f>IF('input for RPA'!K81="","",'input for RPA'!K81)</f>
        <v>0.52</v>
      </c>
      <c r="O75" s="116">
        <f>IF('input for RPA'!L81="","",'input for RPA'!L81)</f>
      </c>
      <c r="P75" s="116" t="str">
        <f t="shared" si="13"/>
        <v>N</v>
      </c>
      <c r="Q75" s="12" t="str">
        <f t="shared" si="14"/>
        <v>No detected value of B, Step 7</v>
      </c>
      <c r="R75" s="116">
        <f>'input for RPA'!O81</f>
      </c>
      <c r="S75" s="145" t="str">
        <f t="shared" si="7"/>
        <v>No</v>
      </c>
      <c r="T75" s="146" t="str">
        <f t="shared" si="15"/>
        <v>Ud;MEC&lt;C &amp; B is ND</v>
      </c>
    </row>
    <row r="76" spans="1:20" ht="12.75">
      <c r="A76" s="9">
        <v>71</v>
      </c>
      <c r="B76" s="10" t="s">
        <v>84</v>
      </c>
      <c r="C76" s="99">
        <f>Criteria!C80</f>
        <v>4300</v>
      </c>
      <c r="D76" s="116" t="str">
        <f>IF('input for RPA'!C82="","",'input for RPA'!C82)</f>
        <v>Y</v>
      </c>
      <c r="E76" s="116" t="str">
        <f>IF('input for RPA'!D82="","",'input for RPA'!D82)</f>
        <v>Y</v>
      </c>
      <c r="F76" s="116">
        <f>IF('input for RPA'!E82="","",'input for RPA'!E82)</f>
        <v>10</v>
      </c>
      <c r="G76" s="116">
        <f>IF('input for RPA'!F82="","",'input for RPA'!F82)</f>
      </c>
      <c r="H76" s="12" t="str">
        <f t="shared" si="12"/>
        <v>All ND, MDL&lt;C, MEC=MDL</v>
      </c>
      <c r="I76" s="117">
        <f t="shared" si="10"/>
        <v>10</v>
      </c>
      <c r="J76" s="12" t="str">
        <f t="shared" si="11"/>
        <v>MEC&lt;C, go to Step 5</v>
      </c>
      <c r="K76" s="117"/>
      <c r="L76" s="116" t="str">
        <f>IF('input for RPA'!I82="","",'input for RPA'!I82)</f>
        <v>Y</v>
      </c>
      <c r="M76" s="116" t="str">
        <f>IF('input for RPA'!J82="","",'input for RPA'!J82)</f>
        <v>Y</v>
      </c>
      <c r="N76" s="116">
        <f>IF('input for RPA'!K82="","",'input for RPA'!K82)</f>
        <v>0.3</v>
      </c>
      <c r="O76" s="116">
        <f>IF('input for RPA'!L82="","",'input for RPA'!L82)</f>
      </c>
      <c r="P76" s="116" t="str">
        <f t="shared" si="13"/>
        <v>N</v>
      </c>
      <c r="Q76" s="12" t="str">
        <f t="shared" si="14"/>
        <v>No detected value of B, Step 7</v>
      </c>
      <c r="R76" s="116">
        <f>'input for RPA'!O82</f>
      </c>
      <c r="S76" s="145" t="str">
        <f t="shared" si="7"/>
        <v>No</v>
      </c>
      <c r="T76" s="146" t="str">
        <f t="shared" si="15"/>
        <v>Ud;MEC&lt;C &amp; B is ND</v>
      </c>
    </row>
    <row r="77" spans="1:20" ht="12.75">
      <c r="A77" s="9">
        <v>72</v>
      </c>
      <c r="B77" s="10" t="s">
        <v>85</v>
      </c>
      <c r="C77" s="99" t="str">
        <f>Criteria!C81</f>
        <v>No Criteria</v>
      </c>
      <c r="D77" s="116" t="str">
        <f>IF('input for RPA'!C83="","",'input for RPA'!C83)</f>
        <v>Y</v>
      </c>
      <c r="E77" s="116" t="str">
        <f>IF('input for RPA'!D83="","",'input for RPA'!D83)</f>
        <v>Y</v>
      </c>
      <c r="F77" s="116">
        <f>IF('input for RPA'!E83="","",'input for RPA'!E83)</f>
        <v>10</v>
      </c>
      <c r="G77" s="116">
        <f>IF('input for RPA'!F83="","",'input for RPA'!F83)</f>
      </c>
      <c r="H77" s="12" t="str">
        <f t="shared" si="12"/>
        <v>No Criteria</v>
      </c>
      <c r="I77" s="117" t="str">
        <f t="shared" si="10"/>
        <v>No Criteria</v>
      </c>
      <c r="J77" s="12" t="str">
        <f t="shared" si="11"/>
        <v>No Criteria</v>
      </c>
      <c r="K77" s="117"/>
      <c r="L77" s="116" t="str">
        <f>IF('input for RPA'!I83="","",'input for RPA'!I83)</f>
        <v>Y</v>
      </c>
      <c r="M77" s="116" t="str">
        <f>IF('input for RPA'!J83="","",'input for RPA'!J83)</f>
        <v>Y</v>
      </c>
      <c r="N77" s="116">
        <f>IF('input for RPA'!K83="","",'input for RPA'!K83)</f>
        <v>0.3</v>
      </c>
      <c r="O77" s="116">
        <f>IF('input for RPA'!L83="","",'input for RPA'!L83)</f>
      </c>
      <c r="P77" s="116" t="str">
        <f t="shared" si="13"/>
        <v>N</v>
      </c>
      <c r="Q77" s="12" t="str">
        <f t="shared" si="14"/>
        <v>No Criteria</v>
      </c>
      <c r="R77" s="116" t="str">
        <f>'input for RPA'!O83</f>
        <v>No Criteria</v>
      </c>
      <c r="S77" s="145" t="str">
        <f t="shared" si="7"/>
        <v>Uo</v>
      </c>
      <c r="T77" s="146" t="str">
        <f t="shared" si="15"/>
        <v>No Criteria</v>
      </c>
    </row>
    <row r="78" spans="1:20" ht="12.75">
      <c r="A78" s="9">
        <v>73</v>
      </c>
      <c r="B78" s="10" t="s">
        <v>86</v>
      </c>
      <c r="C78" s="102">
        <f>Criteria!C82</f>
        <v>0.049</v>
      </c>
      <c r="D78" s="116" t="str">
        <f>IF('input for RPA'!C84="","",'input for RPA'!C84)</f>
        <v>Y</v>
      </c>
      <c r="E78" s="116" t="str">
        <f>IF('input for RPA'!D84="","",'input for RPA'!D84)</f>
        <v>Y</v>
      </c>
      <c r="F78" s="116">
        <f>IF('input for RPA'!E84="","",'input for RPA'!E84)</f>
        <v>0.002</v>
      </c>
      <c r="G78" s="116">
        <f>IF('input for RPA'!F84="","",'input for RPA'!F84)</f>
      </c>
      <c r="H78" s="12" t="str">
        <f t="shared" si="12"/>
        <v>All ND, MDL&lt;C, MEC=MDL</v>
      </c>
      <c r="I78" s="117">
        <f t="shared" si="10"/>
        <v>0.002</v>
      </c>
      <c r="J78" s="12" t="str">
        <f t="shared" si="11"/>
        <v>MEC&lt;C, go to Step 5</v>
      </c>
      <c r="K78" s="117"/>
      <c r="L78" s="116" t="str">
        <f>IF('input for RPA'!I84="","",'input for RPA'!I84)</f>
        <v>Y</v>
      </c>
      <c r="M78" s="116" t="str">
        <f>IF('input for RPA'!J84="","",'input for RPA'!J84)</f>
        <v>N</v>
      </c>
      <c r="N78" s="116">
        <f>IF('input for RPA'!K84="","",'input for RPA'!K84)</f>
      </c>
      <c r="O78" s="116">
        <f>IF('input for RPA'!L84="","",'input for RPA'!L84)</f>
        <v>0.0024</v>
      </c>
      <c r="P78" s="116">
        <f t="shared" si="13"/>
      </c>
      <c r="Q78" s="12" t="str">
        <f t="shared" si="14"/>
        <v>B&lt;C, Step 7</v>
      </c>
      <c r="R78" s="116">
        <f>'input for RPA'!O84</f>
      </c>
      <c r="S78" s="145" t="str">
        <f t="shared" si="7"/>
        <v>No</v>
      </c>
      <c r="T78" s="146" t="str">
        <f t="shared" si="15"/>
        <v>MEC&lt;C &amp; B&lt;C</v>
      </c>
    </row>
    <row r="79" spans="1:20" ht="12.75">
      <c r="A79" s="9">
        <v>74</v>
      </c>
      <c r="B79" s="10" t="s">
        <v>87</v>
      </c>
      <c r="C79" s="102">
        <f>Criteria!C83</f>
        <v>0.049</v>
      </c>
      <c r="D79" s="116" t="str">
        <f>IF('input for RPA'!C85="","",'input for RPA'!C85)</f>
        <v>Y</v>
      </c>
      <c r="E79" s="116" t="str">
        <f>IF('input for RPA'!D85="","",'input for RPA'!D85)</f>
        <v>Y</v>
      </c>
      <c r="F79" s="116">
        <f>IF('input for RPA'!E85="","",'input for RPA'!E85)</f>
        <v>0.007</v>
      </c>
      <c r="G79" s="116">
        <f>IF('input for RPA'!F85="","",'input for RPA'!F85)</f>
      </c>
      <c r="H79" s="12" t="str">
        <f t="shared" si="12"/>
        <v>All ND, MDL&lt;C, MEC=MDL</v>
      </c>
      <c r="I79" s="117">
        <f t="shared" si="10"/>
        <v>0.007</v>
      </c>
      <c r="J79" s="12" t="str">
        <f t="shared" si="11"/>
        <v>MEC&lt;C, go to Step 5</v>
      </c>
      <c r="K79" s="117"/>
      <c r="L79" s="116" t="str">
        <f>IF('input for RPA'!I85="","",'input for RPA'!I85)</f>
        <v>Y</v>
      </c>
      <c r="M79" s="116" t="str">
        <f>IF('input for RPA'!J85="","",'input for RPA'!J85)</f>
        <v>N</v>
      </c>
      <c r="N79" s="116">
        <f>IF('input for RPA'!K85="","",'input for RPA'!K85)</f>
      </c>
      <c r="O79" s="116">
        <f>IF('input for RPA'!L85="","",'input for RPA'!L85)</f>
        <v>0.00064</v>
      </c>
      <c r="P79" s="116">
        <f t="shared" si="13"/>
      </c>
      <c r="Q79" s="12" t="str">
        <f t="shared" si="14"/>
        <v>B&lt;C, Step 7</v>
      </c>
      <c r="R79" s="116">
        <f>'input for RPA'!O85</f>
      </c>
      <c r="S79" s="145" t="str">
        <f t="shared" si="7"/>
        <v>No</v>
      </c>
      <c r="T79" s="146" t="str">
        <f t="shared" si="15"/>
        <v>MEC&lt;C &amp; B&lt;C</v>
      </c>
    </row>
    <row r="80" spans="1:20" ht="12.75">
      <c r="A80" s="9">
        <v>75</v>
      </c>
      <c r="B80" s="10" t="s">
        <v>88</v>
      </c>
      <c r="C80" s="99">
        <f>Criteria!C84</f>
        <v>17000</v>
      </c>
      <c r="D80" s="116" t="str">
        <f>IF('input for RPA'!C86="","",'input for RPA'!C86)</f>
        <v>Y</v>
      </c>
      <c r="E80" s="116" t="str">
        <f>IF('input for RPA'!D86="","",'input for RPA'!D86)</f>
        <v>Y</v>
      </c>
      <c r="F80" s="116">
        <f>IF('input for RPA'!E86="","",'input for RPA'!E86)</f>
        <v>1</v>
      </c>
      <c r="G80" s="116">
        <f>IF('input for RPA'!F86="","",'input for RPA'!F86)</f>
      </c>
      <c r="H80" s="12" t="str">
        <f t="shared" si="12"/>
        <v>All ND, MDL&lt;C, MEC=MDL</v>
      </c>
      <c r="I80" s="117">
        <f t="shared" si="10"/>
        <v>1</v>
      </c>
      <c r="J80" s="12" t="str">
        <f t="shared" si="11"/>
        <v>MEC&lt;C, go to Step 5</v>
      </c>
      <c r="K80" s="117"/>
      <c r="L80" s="116" t="str">
        <f>IF('input for RPA'!I86="","",'input for RPA'!I86)</f>
        <v>Y</v>
      </c>
      <c r="M80" s="116" t="str">
        <f>IF('input for RPA'!J86="","",'input for RPA'!J86)</f>
        <v>Y</v>
      </c>
      <c r="N80" s="116">
        <f>IF('input for RPA'!K86="","",'input for RPA'!K86)</f>
        <v>0.8</v>
      </c>
      <c r="O80" s="116">
        <f>IF('input for RPA'!L86="","",'input for RPA'!L86)</f>
      </c>
      <c r="P80" s="116" t="str">
        <f t="shared" si="13"/>
        <v>N</v>
      </c>
      <c r="Q80" s="12" t="str">
        <f t="shared" si="14"/>
        <v>No detected value of B, Step 7</v>
      </c>
      <c r="R80" s="116">
        <f>'input for RPA'!O86</f>
      </c>
      <c r="S80" s="145" t="str">
        <f t="shared" si="7"/>
        <v>No</v>
      </c>
      <c r="T80" s="146" t="str">
        <f t="shared" si="15"/>
        <v>Ud;MEC&lt;C &amp; B is ND</v>
      </c>
    </row>
    <row r="81" spans="1:20" ht="12.75">
      <c r="A81" s="9">
        <v>76</v>
      </c>
      <c r="B81" s="10" t="s">
        <v>89</v>
      </c>
      <c r="C81" s="99">
        <f>Criteria!C85</f>
        <v>2600</v>
      </c>
      <c r="D81" s="116" t="str">
        <f>IF('input for RPA'!C87="","",'input for RPA'!C87)</f>
        <v>Y</v>
      </c>
      <c r="E81" s="116" t="str">
        <f>IF('input for RPA'!D87="","",'input for RPA'!D87)</f>
        <v>Y</v>
      </c>
      <c r="F81" s="116">
        <f>IF('input for RPA'!E87="","",'input for RPA'!E87)</f>
        <v>1</v>
      </c>
      <c r="G81" s="116">
        <f>IF('input for RPA'!F87="","",'input for RPA'!F87)</f>
      </c>
      <c r="H81" s="12" t="str">
        <f t="shared" si="12"/>
        <v>All ND, MDL&lt;C, MEC=MDL</v>
      </c>
      <c r="I81" s="117">
        <f t="shared" si="10"/>
        <v>1</v>
      </c>
      <c r="J81" s="12" t="str">
        <f t="shared" si="11"/>
        <v>MEC&lt;C, go to Step 5</v>
      </c>
      <c r="K81" s="117"/>
      <c r="L81" s="116" t="str">
        <f>IF('input for RPA'!I87="","",'input for RPA'!I87)</f>
        <v>Y</v>
      </c>
      <c r="M81" s="116" t="str">
        <f>IF('input for RPA'!J87="","",'input for RPA'!J87)</f>
        <v>Y</v>
      </c>
      <c r="N81" s="116">
        <f>IF('input for RPA'!K87="","",'input for RPA'!K87)</f>
        <v>0.8</v>
      </c>
      <c r="O81" s="116">
        <f>IF('input for RPA'!L87="","",'input for RPA'!L87)</f>
      </c>
      <c r="P81" s="116" t="str">
        <f t="shared" si="13"/>
        <v>N</v>
      </c>
      <c r="Q81" s="12" t="str">
        <f t="shared" si="14"/>
        <v>No detected value of B, Step 7</v>
      </c>
      <c r="R81" s="116">
        <f>'input for RPA'!O87</f>
      </c>
      <c r="S81" s="145" t="str">
        <f t="shared" si="7"/>
        <v>No</v>
      </c>
      <c r="T81" s="146" t="str">
        <f t="shared" si="15"/>
        <v>Ud;MEC&lt;C &amp; B is ND</v>
      </c>
    </row>
    <row r="82" spans="1:20" ht="12.75">
      <c r="A82" s="9">
        <v>77</v>
      </c>
      <c r="B82" s="10" t="s">
        <v>90</v>
      </c>
      <c r="C82" s="99">
        <f>Criteria!C86</f>
        <v>2600</v>
      </c>
      <c r="D82" s="116" t="str">
        <f>IF('input for RPA'!C88="","",'input for RPA'!C88)</f>
        <v>Y</v>
      </c>
      <c r="E82" s="116" t="str">
        <f>IF('input for RPA'!D88="","",'input for RPA'!D88)</f>
        <v>Y</v>
      </c>
      <c r="F82" s="116">
        <f>IF('input for RPA'!E88="","",'input for RPA'!E88)</f>
        <v>1</v>
      </c>
      <c r="G82" s="116">
        <f>IF('input for RPA'!F88="","",'input for RPA'!F88)</f>
      </c>
      <c r="H82" s="12" t="str">
        <f t="shared" si="12"/>
        <v>All ND, MDL&lt;C, MEC=MDL</v>
      </c>
      <c r="I82" s="117">
        <f t="shared" si="10"/>
        <v>1</v>
      </c>
      <c r="J82" s="12" t="str">
        <f t="shared" si="11"/>
        <v>MEC&lt;C, go to Step 5</v>
      </c>
      <c r="K82" s="117"/>
      <c r="L82" s="116" t="str">
        <f>IF('input for RPA'!I88="","",'input for RPA'!I88)</f>
        <v>Y</v>
      </c>
      <c r="M82" s="116" t="str">
        <f>IF('input for RPA'!J88="","",'input for RPA'!J88)</f>
        <v>Y</v>
      </c>
      <c r="N82" s="116">
        <f>IF('input for RPA'!K88="","",'input for RPA'!K88)</f>
        <v>0.8</v>
      </c>
      <c r="O82" s="116">
        <f>IF('input for RPA'!L88="","",'input for RPA'!L88)</f>
      </c>
      <c r="P82" s="116" t="str">
        <f t="shared" si="13"/>
        <v>N</v>
      </c>
      <c r="Q82" s="12" t="str">
        <f t="shared" si="14"/>
        <v>No detected value of B, Step 7</v>
      </c>
      <c r="R82" s="116">
        <f>'input for RPA'!O88</f>
      </c>
      <c r="S82" s="145" t="str">
        <f t="shared" si="7"/>
        <v>No</v>
      </c>
      <c r="T82" s="146" t="str">
        <f t="shared" si="15"/>
        <v>Ud;MEC&lt;C &amp; B is ND</v>
      </c>
    </row>
    <row r="83" spans="1:20" ht="12.75">
      <c r="A83" s="9">
        <v>78</v>
      </c>
      <c r="B83" s="10" t="s">
        <v>91</v>
      </c>
      <c r="C83" s="102">
        <f>Criteria!C87</f>
        <v>0.077</v>
      </c>
      <c r="D83" s="116" t="str">
        <f>IF('input for RPA'!C89="","",'input for RPA'!C89)</f>
        <v>Y</v>
      </c>
      <c r="E83" s="116" t="str">
        <f>IF('input for RPA'!D89="","",'input for RPA'!D89)</f>
        <v>Y</v>
      </c>
      <c r="F83" s="116">
        <f>IF('input for RPA'!E89="","",'input for RPA'!E89)</f>
        <v>100</v>
      </c>
      <c r="G83" s="116">
        <f>IF('input for RPA'!F89="","",'input for RPA'!F89)</f>
      </c>
      <c r="H83" s="12" t="str">
        <f t="shared" si="12"/>
        <v>All ND, MinDL&gt;C, Go to Step 5, &amp; IM</v>
      </c>
      <c r="I83" s="117">
        <f t="shared" si="10"/>
      </c>
      <c r="J83" s="12">
        <f t="shared" si="11"/>
      </c>
      <c r="K83" s="117"/>
      <c r="L83" s="116" t="str">
        <f>IF('input for RPA'!I89="","",'input for RPA'!I89)</f>
        <v>Y</v>
      </c>
      <c r="M83" s="116" t="str">
        <f>IF('input for RPA'!J89="","",'input for RPA'!J89)</f>
        <v>Y</v>
      </c>
      <c r="N83" s="116">
        <f>IF('input for RPA'!K89="","",'input for RPA'!K89)</f>
        <v>0.001</v>
      </c>
      <c r="O83" s="116">
        <f>IF('input for RPA'!L89="","",'input for RPA'!L89)</f>
      </c>
      <c r="P83" s="116" t="str">
        <f t="shared" si="13"/>
        <v>N</v>
      </c>
      <c r="Q83" s="12" t="str">
        <f t="shared" si="14"/>
        <v>No detected value of B, Step 7</v>
      </c>
      <c r="R83" s="116">
        <f>'input for RPA'!O89</f>
      </c>
      <c r="S83" s="145" t="str">
        <f t="shared" si="7"/>
        <v>No</v>
      </c>
      <c r="T83" s="146" t="str">
        <f t="shared" si="15"/>
        <v>UD; effluent data and B are ND</v>
      </c>
    </row>
    <row r="84" spans="1:20" ht="12.75">
      <c r="A84" s="9">
        <v>79</v>
      </c>
      <c r="B84" s="10" t="s">
        <v>92</v>
      </c>
      <c r="C84" s="99">
        <f>Criteria!C88</f>
        <v>120000</v>
      </c>
      <c r="D84" s="116" t="str">
        <f>IF('input for RPA'!C90="","",'input for RPA'!C90)</f>
        <v>Y</v>
      </c>
      <c r="E84" s="116" t="str">
        <f>IF('input for RPA'!D90="","",'input for RPA'!D90)</f>
        <v>Y</v>
      </c>
      <c r="F84" s="116">
        <f>IF('input for RPA'!E90="","",'input for RPA'!E90)</f>
        <v>10</v>
      </c>
      <c r="G84" s="116">
        <f>IF('input for RPA'!F90="","",'input for RPA'!F90)</f>
      </c>
      <c r="H84" s="12" t="str">
        <f t="shared" si="12"/>
        <v>All ND, MDL&lt;C, MEC=MDL</v>
      </c>
      <c r="I84" s="117">
        <f t="shared" si="10"/>
        <v>10</v>
      </c>
      <c r="J84" s="12" t="str">
        <f t="shared" si="11"/>
        <v>MEC&lt;C, go to Step 5</v>
      </c>
      <c r="K84" s="117"/>
      <c r="L84" s="116" t="str">
        <f>IF('input for RPA'!I90="","",'input for RPA'!I90)</f>
        <v>Y</v>
      </c>
      <c r="M84" s="116" t="str">
        <f>IF('input for RPA'!J90="","",'input for RPA'!J90)</f>
        <v>Y</v>
      </c>
      <c r="N84" s="116">
        <f>IF('input for RPA'!K90="","",'input for RPA'!K90)</f>
        <v>0.24</v>
      </c>
      <c r="O84" s="116">
        <f>IF('input for RPA'!L90="","",'input for RPA'!L90)</f>
      </c>
      <c r="P84" s="116" t="str">
        <f t="shared" si="13"/>
        <v>N</v>
      </c>
      <c r="Q84" s="12" t="str">
        <f t="shared" si="14"/>
        <v>No detected value of B, Step 7</v>
      </c>
      <c r="R84" s="116">
        <f>'input for RPA'!O90</f>
      </c>
      <c r="S84" s="145" t="str">
        <f t="shared" si="7"/>
        <v>No</v>
      </c>
      <c r="T84" s="146" t="str">
        <f t="shared" si="15"/>
        <v>Ud;MEC&lt;C &amp; B is ND</v>
      </c>
    </row>
    <row r="85" spans="1:20" ht="12.75">
      <c r="A85" s="9">
        <v>80</v>
      </c>
      <c r="B85" s="10" t="s">
        <v>93</v>
      </c>
      <c r="C85" s="99">
        <f>Criteria!C89</f>
        <v>2900000</v>
      </c>
      <c r="D85" s="116" t="str">
        <f>IF('input for RPA'!C91="","",'input for RPA'!C91)</f>
        <v>Y</v>
      </c>
      <c r="E85" s="116" t="str">
        <f>IF('input for RPA'!D91="","",'input for RPA'!D91)</f>
        <v>Y</v>
      </c>
      <c r="F85" s="116">
        <f>IF('input for RPA'!E91="","",'input for RPA'!E91)</f>
        <v>10</v>
      </c>
      <c r="G85" s="116">
        <f>IF('input for RPA'!F91="","",'input for RPA'!F91)</f>
      </c>
      <c r="H85" s="12" t="str">
        <f t="shared" si="12"/>
        <v>All ND, MDL&lt;C, MEC=MDL</v>
      </c>
      <c r="I85" s="117">
        <f t="shared" si="10"/>
        <v>10</v>
      </c>
      <c r="J85" s="12" t="str">
        <f t="shared" si="11"/>
        <v>MEC&lt;C, go to Step 5</v>
      </c>
      <c r="K85" s="117"/>
      <c r="L85" s="116" t="str">
        <f>IF('input for RPA'!I91="","",'input for RPA'!I91)</f>
        <v>Y</v>
      </c>
      <c r="M85" s="116" t="str">
        <f>IF('input for RPA'!J91="","",'input for RPA'!J91)</f>
        <v>Y</v>
      </c>
      <c r="N85" s="116">
        <f>IF('input for RPA'!K91="","",'input for RPA'!K91)</f>
        <v>0.24</v>
      </c>
      <c r="O85" s="116">
        <f>IF('input for RPA'!L91="","",'input for RPA'!L91)</f>
      </c>
      <c r="P85" s="116" t="str">
        <f t="shared" si="13"/>
        <v>N</v>
      </c>
      <c r="Q85" s="12" t="str">
        <f t="shared" si="14"/>
        <v>No detected value of B, Step 7</v>
      </c>
      <c r="R85" s="116">
        <f>'input for RPA'!O91</f>
      </c>
      <c r="S85" s="145" t="str">
        <f t="shared" si="7"/>
        <v>No</v>
      </c>
      <c r="T85" s="146" t="str">
        <f t="shared" si="15"/>
        <v>Ud;MEC&lt;C &amp; B is ND</v>
      </c>
    </row>
    <row r="86" spans="1:20" ht="12.75">
      <c r="A86" s="9">
        <v>81</v>
      </c>
      <c r="B86" s="10" t="s">
        <v>94</v>
      </c>
      <c r="C86" s="99">
        <f>Criteria!C90</f>
        <v>12000</v>
      </c>
      <c r="D86" s="116" t="str">
        <f>IF('input for RPA'!C92="","",'input for RPA'!C92)</f>
        <v>Y</v>
      </c>
      <c r="E86" s="116" t="str">
        <f>IF('input for RPA'!D92="","",'input for RPA'!D92)</f>
        <v>Y</v>
      </c>
      <c r="F86" s="116">
        <f>IF('input for RPA'!E92="","",'input for RPA'!E92)</f>
        <v>20</v>
      </c>
      <c r="G86" s="116">
        <f>IF('input for RPA'!F92="","",'input for RPA'!F92)</f>
      </c>
      <c r="H86" s="12" t="str">
        <f t="shared" si="12"/>
        <v>All ND, MDL&lt;C, MEC=MDL</v>
      </c>
      <c r="I86" s="117">
        <f t="shared" si="10"/>
        <v>20</v>
      </c>
      <c r="J86" s="12" t="str">
        <f t="shared" si="11"/>
        <v>MEC&lt;C, go to Step 5</v>
      </c>
      <c r="K86" s="117"/>
      <c r="L86" s="116" t="str">
        <f>IF('input for RPA'!I92="","",'input for RPA'!I92)</f>
        <v>Y</v>
      </c>
      <c r="M86" s="116" t="str">
        <f>IF('input for RPA'!J92="","",'input for RPA'!J92)</f>
        <v>Y</v>
      </c>
      <c r="N86" s="116">
        <f>IF('input for RPA'!K92="","",'input for RPA'!K92)</f>
        <v>0.5</v>
      </c>
      <c r="O86" s="116">
        <f>IF('input for RPA'!L92="","",'input for RPA'!L92)</f>
      </c>
      <c r="P86" s="116" t="str">
        <f t="shared" si="13"/>
        <v>N</v>
      </c>
      <c r="Q86" s="12" t="str">
        <f t="shared" si="14"/>
        <v>No detected value of B, Step 7</v>
      </c>
      <c r="R86" s="116">
        <f>'input for RPA'!O92</f>
      </c>
      <c r="S86" s="145" t="str">
        <f t="shared" si="7"/>
        <v>No</v>
      </c>
      <c r="T86" s="146" t="str">
        <f t="shared" si="15"/>
        <v>Ud;MEC&lt;C &amp; B is ND</v>
      </c>
    </row>
    <row r="87" spans="1:20" ht="12.75">
      <c r="A87" s="9">
        <v>82</v>
      </c>
      <c r="B87" s="10" t="s">
        <v>95</v>
      </c>
      <c r="C87" s="101">
        <f>Criteria!C91</f>
        <v>9.1</v>
      </c>
      <c r="D87" s="116" t="str">
        <f>IF('input for RPA'!C93="","",'input for RPA'!C93)</f>
        <v>Y</v>
      </c>
      <c r="E87" s="116" t="str">
        <f>IF('input for RPA'!D93="","",'input for RPA'!D93)</f>
        <v>Y</v>
      </c>
      <c r="F87" s="116">
        <f>IF('input for RPA'!E93="","",'input for RPA'!E93)</f>
        <v>10</v>
      </c>
      <c r="G87" s="116">
        <f>IF('input for RPA'!F93="","",'input for RPA'!F93)</f>
      </c>
      <c r="H87" s="12" t="str">
        <f t="shared" si="12"/>
        <v>All ND, MinDL&gt;C, Go to Step 5, &amp; IM</v>
      </c>
      <c r="I87" s="117">
        <f t="shared" si="10"/>
      </c>
      <c r="J87" s="12">
        <f t="shared" si="11"/>
      </c>
      <c r="K87" s="117"/>
      <c r="L87" s="116" t="str">
        <f>IF('input for RPA'!I93="","",'input for RPA'!I93)</f>
        <v>Y</v>
      </c>
      <c r="M87" s="116" t="str">
        <f>IF('input for RPA'!J93="","",'input for RPA'!J93)</f>
        <v>Y</v>
      </c>
      <c r="N87" s="116">
        <f>IF('input for RPA'!K93="","",'input for RPA'!K93)</f>
        <v>0.27</v>
      </c>
      <c r="O87" s="116">
        <f>IF('input for RPA'!L93="","",'input for RPA'!L93)</f>
      </c>
      <c r="P87" s="116" t="str">
        <f t="shared" si="13"/>
        <v>N</v>
      </c>
      <c r="Q87" s="12" t="str">
        <f t="shared" si="14"/>
        <v>No detected value of B, Step 7</v>
      </c>
      <c r="R87" s="116">
        <f>'input for RPA'!O93</f>
      </c>
      <c r="S87" s="145" t="str">
        <f t="shared" si="7"/>
        <v>No</v>
      </c>
      <c r="T87" s="146" t="str">
        <f t="shared" si="15"/>
        <v>UD; effluent data and B are ND</v>
      </c>
    </row>
    <row r="88" spans="1:20" ht="12.75">
      <c r="A88" s="9">
        <v>83</v>
      </c>
      <c r="B88" s="10" t="s">
        <v>96</v>
      </c>
      <c r="C88" s="99" t="str">
        <f>Criteria!C92</f>
        <v>No Criteria</v>
      </c>
      <c r="D88" s="116" t="str">
        <f>IF('input for RPA'!C94="","",'input for RPA'!C94)</f>
        <v>Y</v>
      </c>
      <c r="E88" s="116" t="str">
        <f>IF('input for RPA'!D94="","",'input for RPA'!D94)</f>
        <v>Y</v>
      </c>
      <c r="F88" s="116">
        <f>IF('input for RPA'!E94="","",'input for RPA'!E94)</f>
        <v>10</v>
      </c>
      <c r="G88" s="116">
        <f>IF('input for RPA'!F94="","",'input for RPA'!F94)</f>
      </c>
      <c r="H88" s="12" t="str">
        <f t="shared" si="12"/>
        <v>No Criteria</v>
      </c>
      <c r="I88" s="117" t="str">
        <f t="shared" si="10"/>
        <v>No Criteria</v>
      </c>
      <c r="J88" s="12" t="str">
        <f t="shared" si="11"/>
        <v>No Criteria</v>
      </c>
      <c r="K88" s="117"/>
      <c r="L88" s="116" t="str">
        <f>IF('input for RPA'!I94="","",'input for RPA'!I94)</f>
        <v>Y</v>
      </c>
      <c r="M88" s="116" t="str">
        <f>IF('input for RPA'!J94="","",'input for RPA'!J94)</f>
        <v>Y</v>
      </c>
      <c r="N88" s="116">
        <f>IF('input for RPA'!K94="","",'input for RPA'!K94)</f>
        <v>0.29</v>
      </c>
      <c r="O88" s="116">
        <f>IF('input for RPA'!L94="","",'input for RPA'!L94)</f>
      </c>
      <c r="P88" s="116" t="str">
        <f t="shared" si="13"/>
        <v>N</v>
      </c>
      <c r="Q88" s="12" t="str">
        <f t="shared" si="14"/>
        <v>No Criteria</v>
      </c>
      <c r="R88" s="116" t="str">
        <f>'input for RPA'!O94</f>
        <v>No Criteria</v>
      </c>
      <c r="S88" s="145" t="str">
        <f t="shared" si="7"/>
        <v>Uo</v>
      </c>
      <c r="T88" s="146" t="str">
        <f t="shared" si="15"/>
        <v>No Criteria</v>
      </c>
    </row>
    <row r="89" spans="1:20" ht="12.75">
      <c r="A89" s="9">
        <v>84</v>
      </c>
      <c r="B89" s="10" t="s">
        <v>97</v>
      </c>
      <c r="C89" s="99" t="str">
        <f>Criteria!C93</f>
        <v>No Criteria</v>
      </c>
      <c r="D89" s="116" t="str">
        <f>IF('input for RPA'!C95="","",'input for RPA'!C95)</f>
        <v>Y</v>
      </c>
      <c r="E89" s="116" t="str">
        <f>IF('input for RPA'!D95="","",'input for RPA'!D95)</f>
        <v>Y</v>
      </c>
      <c r="F89" s="116">
        <f>IF('input for RPA'!E95="","",'input for RPA'!E95)</f>
        <v>20</v>
      </c>
      <c r="G89" s="116">
        <f>IF('input for RPA'!F95="","",'input for RPA'!F95)</f>
      </c>
      <c r="H89" s="12" t="str">
        <f t="shared" si="12"/>
        <v>No Criteria</v>
      </c>
      <c r="I89" s="117" t="str">
        <f t="shared" si="10"/>
        <v>No Criteria</v>
      </c>
      <c r="J89" s="12" t="str">
        <f t="shared" si="11"/>
        <v>No Criteria</v>
      </c>
      <c r="K89" s="117"/>
      <c r="L89" s="116" t="str">
        <f>IF('input for RPA'!I95="","",'input for RPA'!I95)</f>
        <v>Y</v>
      </c>
      <c r="M89" s="116" t="str">
        <f>IF('input for RPA'!J95="","",'input for RPA'!J95)</f>
        <v>Y</v>
      </c>
      <c r="N89" s="116">
        <f>IF('input for RPA'!K95="","",'input for RPA'!K95)</f>
        <v>0.38</v>
      </c>
      <c r="O89" s="116">
        <f>IF('input for RPA'!L95="","",'input for RPA'!L95)</f>
      </c>
      <c r="P89" s="116" t="str">
        <f t="shared" si="13"/>
        <v>N</v>
      </c>
      <c r="Q89" s="12" t="str">
        <f t="shared" si="14"/>
        <v>No Criteria</v>
      </c>
      <c r="R89" s="116" t="str">
        <f>'input for RPA'!O95</f>
        <v>No Criteria</v>
      </c>
      <c r="S89" s="145" t="str">
        <f aca="true" t="shared" si="16" ref="S89:S126">IF(C89="No Criteria","Uo",IF(D89="N",IF(L89="N","Ud",IF(M89="Y","No",IF(O89&gt;C89,"Yes","Ud"))),IF(H89="All ND, MinDL&gt;C, Go to Step 5, &amp; IM",IF(L89="N","No",IF(M89="Y","No",IF(O89&gt;C89,"Yes","No"))),IF(I89="No Criteria","Uo",IF(I89&gt;C89,"Yes",IF(M89="N",IF(O89&gt;C89,"Yes","No"),"No"))))))</f>
        <v>Uo</v>
      </c>
      <c r="T89" s="146" t="str">
        <f t="shared" si="15"/>
        <v>No Criteria</v>
      </c>
    </row>
    <row r="90" spans="1:20" ht="12.75">
      <c r="A90" s="9">
        <v>85</v>
      </c>
      <c r="B90" s="10" t="s">
        <v>98</v>
      </c>
      <c r="C90" s="101">
        <f>Criteria!C94</f>
        <v>0.54</v>
      </c>
      <c r="D90" s="116" t="str">
        <f>IF('input for RPA'!C96="","",'input for RPA'!C96)</f>
        <v>Y</v>
      </c>
      <c r="E90" s="116" t="str">
        <f>IF('input for RPA'!D96="","",'input for RPA'!D96)</f>
        <v>Y</v>
      </c>
      <c r="F90" s="116">
        <f>IF('input for RPA'!E96="","",'input for RPA'!E96)</f>
        <v>20</v>
      </c>
      <c r="G90" s="116">
        <f>IF('input for RPA'!F96="","",'input for RPA'!F96)</f>
      </c>
      <c r="H90" s="12" t="str">
        <f t="shared" si="12"/>
        <v>All ND, MinDL&gt;C, Go to Step 5, &amp; IM</v>
      </c>
      <c r="I90" s="117">
        <f t="shared" si="10"/>
      </c>
      <c r="J90" s="12">
        <f t="shared" si="11"/>
      </c>
      <c r="K90" s="117"/>
      <c r="L90" s="116" t="str">
        <f>IF('input for RPA'!I96="","",'input for RPA'!I96)</f>
        <v>Y</v>
      </c>
      <c r="M90" s="116" t="str">
        <f>IF('input for RPA'!J96="","",'input for RPA'!J96)</f>
        <v>N</v>
      </c>
      <c r="N90" s="116">
        <f>IF('input for RPA'!K96="","",'input for RPA'!K96)</f>
      </c>
      <c r="O90" s="116">
        <f>IF('input for RPA'!L96="","",'input for RPA'!L96)</f>
        <v>0.0037</v>
      </c>
      <c r="P90" s="116">
        <f t="shared" si="13"/>
      </c>
      <c r="Q90" s="12" t="str">
        <f t="shared" si="14"/>
        <v>B&lt;C, Step 7</v>
      </c>
      <c r="R90" s="116">
        <f>'input for RPA'!O96</f>
      </c>
      <c r="S90" s="145" t="str">
        <f t="shared" si="16"/>
        <v>No</v>
      </c>
      <c r="T90" s="146" t="str">
        <f t="shared" si="15"/>
        <v>UD; effluent data ND, MDL&gt;C &amp; B&lt;C</v>
      </c>
    </row>
    <row r="91" spans="1:20" ht="12.75">
      <c r="A91" s="9">
        <v>86</v>
      </c>
      <c r="B91" s="10" t="s">
        <v>99</v>
      </c>
      <c r="C91" s="99">
        <f>Criteria!C95</f>
        <v>370</v>
      </c>
      <c r="D91" s="116" t="str">
        <f>IF('input for RPA'!C97="","",'input for RPA'!C97)</f>
        <v>Y</v>
      </c>
      <c r="E91" s="116" t="str">
        <f>IF('input for RPA'!D97="","",'input for RPA'!D97)</f>
        <v>Y</v>
      </c>
      <c r="F91" s="116">
        <f>IF('input for RPA'!E97="","",'input for RPA'!E97)</f>
        <v>0.04</v>
      </c>
      <c r="G91" s="116">
        <f>IF('input for RPA'!F97="","",'input for RPA'!F97)</f>
      </c>
      <c r="H91" s="12" t="str">
        <f t="shared" si="12"/>
        <v>All ND, MDL&lt;C, MEC=MDL</v>
      </c>
      <c r="I91" s="117">
        <f t="shared" si="10"/>
        <v>0.04</v>
      </c>
      <c r="J91" s="12" t="str">
        <f t="shared" si="11"/>
        <v>MEC&lt;C, go to Step 5</v>
      </c>
      <c r="K91" s="117"/>
      <c r="L91" s="116" t="str">
        <f>IF('input for RPA'!I97="","",'input for RPA'!I97)</f>
        <v>Y</v>
      </c>
      <c r="M91" s="116" t="str">
        <f>IF('input for RPA'!J97="","",'input for RPA'!J97)</f>
        <v>N</v>
      </c>
      <c r="N91" s="116">
        <f>IF('input for RPA'!K97="","",'input for RPA'!K97)</f>
      </c>
      <c r="O91" s="116">
        <f>IF('input for RPA'!L97="","",'input for RPA'!L97)</f>
        <v>0.011</v>
      </c>
      <c r="P91" s="116">
        <f t="shared" si="13"/>
      </c>
      <c r="Q91" s="12" t="str">
        <f t="shared" si="14"/>
        <v>B&lt;C, Step 7</v>
      </c>
      <c r="R91" s="116">
        <f>'input for RPA'!O97</f>
      </c>
      <c r="S91" s="145" t="str">
        <f t="shared" si="16"/>
        <v>No</v>
      </c>
      <c r="T91" s="146" t="str">
        <f t="shared" si="15"/>
        <v>MEC&lt;C &amp; B&lt;C</v>
      </c>
    </row>
    <row r="92" spans="1:20" ht="12.75">
      <c r="A92" s="9">
        <v>87</v>
      </c>
      <c r="B92" s="10" t="s">
        <v>100</v>
      </c>
      <c r="C92" s="99">
        <f>Criteria!C96</f>
        <v>14000</v>
      </c>
      <c r="D92" s="116" t="str">
        <f>IF('input for RPA'!C98="","",'input for RPA'!C98)</f>
        <v>Y</v>
      </c>
      <c r="E92" s="116" t="str">
        <f>IF('input for RPA'!D98="","",'input for RPA'!D98)</f>
        <v>Y</v>
      </c>
      <c r="F92" s="116">
        <f>IF('input for RPA'!E98="","",'input for RPA'!E98)</f>
        <v>0.008</v>
      </c>
      <c r="G92" s="116">
        <f>IF('input for RPA'!F98="","",'input for RPA'!F98)</f>
      </c>
      <c r="H92" s="12" t="str">
        <f t="shared" si="12"/>
        <v>All ND, MDL&lt;C, MEC=MDL</v>
      </c>
      <c r="I92" s="117">
        <f t="shared" si="10"/>
        <v>0.008</v>
      </c>
      <c r="J92" s="12" t="str">
        <f t="shared" si="11"/>
        <v>MEC&lt;C, go to Step 5</v>
      </c>
      <c r="K92" s="117"/>
      <c r="L92" s="116" t="str">
        <f>IF('input for RPA'!I98="","",'input for RPA'!I98)</f>
        <v>Y</v>
      </c>
      <c r="M92" s="116" t="str">
        <f>IF('input for RPA'!J98="","",'input for RPA'!J98)</f>
        <v>N</v>
      </c>
      <c r="N92" s="116">
        <f>IF('input for RPA'!K98="","",'input for RPA'!K98)</f>
      </c>
      <c r="O92" s="116">
        <f>IF('input for RPA'!L98="","",'input for RPA'!L98)</f>
        <v>0.00208</v>
      </c>
      <c r="P92" s="116">
        <f t="shared" si="13"/>
      </c>
      <c r="Q92" s="12" t="str">
        <f t="shared" si="14"/>
        <v>B&lt;C, Step 7</v>
      </c>
      <c r="R92" s="116">
        <f>'input for RPA'!O98</f>
      </c>
      <c r="S92" s="145" t="str">
        <f t="shared" si="16"/>
        <v>No</v>
      </c>
      <c r="T92" s="146" t="str">
        <f t="shared" si="15"/>
        <v>MEC&lt;C &amp; B&lt;C</v>
      </c>
    </row>
    <row r="93" spans="1:20" ht="12.75">
      <c r="A93" s="9">
        <v>88</v>
      </c>
      <c r="B93" s="10" t="s">
        <v>101</v>
      </c>
      <c r="C93" s="105">
        <f>Criteria!C97</f>
        <v>0.00077</v>
      </c>
      <c r="D93" s="116" t="str">
        <f>IF('input for RPA'!C99="","",'input for RPA'!C99)</f>
        <v>Y</v>
      </c>
      <c r="E93" s="116" t="str">
        <f>IF('input for RPA'!D99="","",'input for RPA'!D99)</f>
        <v>Y</v>
      </c>
      <c r="F93" s="116">
        <f>IF('input for RPA'!E99="","",'input for RPA'!E99)</f>
        <v>10</v>
      </c>
      <c r="G93" s="116">
        <f>IF('input for RPA'!F99="","",'input for RPA'!F99)</f>
      </c>
      <c r="H93" s="12" t="str">
        <f t="shared" si="12"/>
        <v>All ND, MinDL&gt;C, Go to Step 5, &amp; IM</v>
      </c>
      <c r="I93" s="117">
        <f t="shared" si="10"/>
      </c>
      <c r="J93" s="12">
        <f t="shared" si="11"/>
      </c>
      <c r="K93" s="117"/>
      <c r="L93" s="116" t="str">
        <f>IF('input for RPA'!I99="","",'input for RPA'!I99)</f>
        <v>Y</v>
      </c>
      <c r="M93" s="116" t="str">
        <f>IF('input for RPA'!J99="","",'input for RPA'!J99)</f>
        <v>N</v>
      </c>
      <c r="N93" s="116">
        <f>IF('input for RPA'!K99="","",'input for RPA'!K99)</f>
      </c>
      <c r="O93" s="116">
        <f>IF('input for RPA'!L99="","",'input for RPA'!L99)</f>
        <v>2.02E-05</v>
      </c>
      <c r="P93" s="116">
        <f t="shared" si="13"/>
      </c>
      <c r="Q93" s="12" t="str">
        <f t="shared" si="14"/>
        <v>B&lt;C, Step 7</v>
      </c>
      <c r="R93" s="116">
        <f>'input for RPA'!O99</f>
      </c>
      <c r="S93" s="145" t="str">
        <f t="shared" si="16"/>
        <v>No</v>
      </c>
      <c r="T93" s="146" t="str">
        <f t="shared" si="15"/>
        <v>UD; effluent data ND, MDL&gt;C &amp; B&lt;C</v>
      </c>
    </row>
    <row r="94" spans="1:20" ht="12.75">
      <c r="A94" s="9">
        <v>89</v>
      </c>
      <c r="B94" s="10" t="s">
        <v>102</v>
      </c>
      <c r="C94" s="99">
        <f>Criteria!C98</f>
        <v>50</v>
      </c>
      <c r="D94" s="116" t="str">
        <f>IF('input for RPA'!C100="","",'input for RPA'!C100)</f>
        <v>Y</v>
      </c>
      <c r="E94" s="116" t="str">
        <f>IF('input for RPA'!D100="","",'input for RPA'!D100)</f>
        <v>Y</v>
      </c>
      <c r="F94" s="116">
        <f>IF('input for RPA'!E100="","",'input for RPA'!E100)</f>
        <v>20</v>
      </c>
      <c r="G94" s="116">
        <f>IF('input for RPA'!F100="","",'input for RPA'!F100)</f>
      </c>
      <c r="H94" s="12" t="str">
        <f t="shared" si="12"/>
        <v>All ND, MDL&lt;C, MEC=MDL</v>
      </c>
      <c r="I94" s="117">
        <f t="shared" si="10"/>
        <v>20</v>
      </c>
      <c r="J94" s="12" t="str">
        <f t="shared" si="11"/>
        <v>MEC&lt;C, go to Step 5</v>
      </c>
      <c r="K94" s="117"/>
      <c r="L94" s="116" t="str">
        <f>IF('input for RPA'!I100="","",'input for RPA'!I100)</f>
        <v>Y</v>
      </c>
      <c r="M94" s="116" t="str">
        <f>IF('input for RPA'!J100="","",'input for RPA'!J100)</f>
        <v>Y</v>
      </c>
      <c r="N94" s="116">
        <f>IF('input for RPA'!K100="","",'input for RPA'!K100)</f>
        <v>0.3</v>
      </c>
      <c r="O94" s="116">
        <f>IF('input for RPA'!L100="","",'input for RPA'!L100)</f>
      </c>
      <c r="P94" s="116" t="str">
        <f t="shared" si="13"/>
        <v>N</v>
      </c>
      <c r="Q94" s="12" t="str">
        <f t="shared" si="14"/>
        <v>No detected value of B, Step 7</v>
      </c>
      <c r="R94" s="116">
        <f>'input for RPA'!O100</f>
      </c>
      <c r="S94" s="145" t="str">
        <f t="shared" si="16"/>
        <v>No</v>
      </c>
      <c r="T94" s="146" t="str">
        <f t="shared" si="15"/>
        <v>Ud;MEC&lt;C &amp; B is ND</v>
      </c>
    </row>
    <row r="95" spans="1:20" ht="12.75">
      <c r="A95" s="9">
        <v>90</v>
      </c>
      <c r="B95" s="10" t="s">
        <v>103</v>
      </c>
      <c r="C95" s="99">
        <f>Criteria!C99</f>
        <v>17000</v>
      </c>
      <c r="D95" s="116" t="str">
        <f>IF('input for RPA'!C101="","",'input for RPA'!C101)</f>
        <v>Y</v>
      </c>
      <c r="E95" s="116" t="str">
        <f>IF('input for RPA'!D101="","",'input for RPA'!D101)</f>
        <v>Y</v>
      </c>
      <c r="F95" s="116">
        <f>IF('input for RPA'!E101="","",'input for RPA'!E101)</f>
        <v>20</v>
      </c>
      <c r="G95" s="116">
        <f>IF('input for RPA'!F101="","",'input for RPA'!F101)</f>
      </c>
      <c r="H95" s="12" t="str">
        <f t="shared" si="12"/>
        <v>All ND, MDL&lt;C, MEC=MDL</v>
      </c>
      <c r="I95" s="117">
        <f t="shared" si="10"/>
        <v>20</v>
      </c>
      <c r="J95" s="12" t="str">
        <f t="shared" si="11"/>
        <v>MEC&lt;C, go to Step 5</v>
      </c>
      <c r="K95" s="117"/>
      <c r="L95" s="116" t="str">
        <f>IF('input for RPA'!I101="","",'input for RPA'!I101)</f>
        <v>Y</v>
      </c>
      <c r="M95" s="116" t="str">
        <f>IF('input for RPA'!J101="","",'input for RPA'!J101)</f>
        <v>Y</v>
      </c>
      <c r="N95" s="116">
        <f>IF('input for RPA'!K101="","",'input for RPA'!K101)</f>
        <v>0.31</v>
      </c>
      <c r="O95" s="116">
        <f>IF('input for RPA'!L101="","",'input for RPA'!L101)</f>
      </c>
      <c r="P95" s="116" t="str">
        <f t="shared" si="13"/>
        <v>N</v>
      </c>
      <c r="Q95" s="12" t="str">
        <f t="shared" si="14"/>
        <v>No detected value of B, Step 7</v>
      </c>
      <c r="R95" s="116">
        <f>'input for RPA'!O101</f>
      </c>
      <c r="S95" s="145" t="str">
        <f t="shared" si="16"/>
        <v>No</v>
      </c>
      <c r="T95" s="146" t="str">
        <f t="shared" si="15"/>
        <v>Ud;MEC&lt;C &amp; B is ND</v>
      </c>
    </row>
    <row r="96" spans="1:20" ht="12.75">
      <c r="A96" s="9">
        <v>91</v>
      </c>
      <c r="B96" s="10" t="s">
        <v>104</v>
      </c>
      <c r="C96" s="101">
        <f>Criteria!C100</f>
        <v>8.9</v>
      </c>
      <c r="D96" s="116" t="str">
        <f>IF('input for RPA'!C102="","",'input for RPA'!C102)</f>
        <v>Y</v>
      </c>
      <c r="E96" s="116" t="str">
        <f>IF('input for RPA'!D102="","",'input for RPA'!D102)</f>
        <v>Y</v>
      </c>
      <c r="F96" s="116">
        <f>IF('input for RPA'!E102="","",'input for RPA'!E102)</f>
        <v>10</v>
      </c>
      <c r="G96" s="116">
        <f>IF('input for RPA'!F102="","",'input for RPA'!F102)</f>
      </c>
      <c r="H96" s="12" t="str">
        <f t="shared" si="12"/>
        <v>All ND, MinDL&gt;C, Go to Step 5, &amp; IM</v>
      </c>
      <c r="I96" s="117">
        <f t="shared" si="10"/>
      </c>
      <c r="J96" s="12">
        <f t="shared" si="11"/>
      </c>
      <c r="K96" s="117"/>
      <c r="L96" s="116" t="str">
        <f>IF('input for RPA'!I102="","",'input for RPA'!I102)</f>
        <v>Y</v>
      </c>
      <c r="M96" s="116" t="str">
        <f>IF('input for RPA'!J102="","",'input for RPA'!J102)</f>
        <v>Y</v>
      </c>
      <c r="N96" s="116">
        <f>IF('input for RPA'!K102="","",'input for RPA'!K102)</f>
        <v>0.2</v>
      </c>
      <c r="O96" s="116">
        <f>IF('input for RPA'!L102="","",'input for RPA'!L102)</f>
      </c>
      <c r="P96" s="116" t="str">
        <f t="shared" si="13"/>
        <v>N</v>
      </c>
      <c r="Q96" s="12" t="str">
        <f t="shared" si="14"/>
        <v>No detected value of B, Step 7</v>
      </c>
      <c r="R96" s="116">
        <f>'input for RPA'!O102</f>
      </c>
      <c r="S96" s="145" t="str">
        <f t="shared" si="16"/>
        <v>No</v>
      </c>
      <c r="T96" s="146" t="str">
        <f t="shared" si="15"/>
        <v>UD; effluent data and B are ND</v>
      </c>
    </row>
    <row r="97" spans="1:20" ht="12.75">
      <c r="A97" s="9">
        <v>92</v>
      </c>
      <c r="B97" s="10" t="s">
        <v>105</v>
      </c>
      <c r="C97" s="102">
        <f>Criteria!C101</f>
        <v>0.049</v>
      </c>
      <c r="D97" s="116" t="str">
        <f>IF('input for RPA'!C103="","",'input for RPA'!C103)</f>
        <v>Y</v>
      </c>
      <c r="E97" s="116" t="str">
        <f>IF('input for RPA'!D103="","",'input for RPA'!D103)</f>
        <v>Y</v>
      </c>
      <c r="F97" s="116">
        <f>IF('input for RPA'!E103="","",'input for RPA'!E103)</f>
        <v>0.01</v>
      </c>
      <c r="G97" s="116">
        <f>IF('input for RPA'!F103="","",'input for RPA'!F103)</f>
      </c>
      <c r="H97" s="12" t="str">
        <f t="shared" si="12"/>
        <v>All ND, MDL&lt;C, MEC=MDL</v>
      </c>
      <c r="I97" s="117">
        <f t="shared" si="10"/>
        <v>0.01</v>
      </c>
      <c r="J97" s="12" t="str">
        <f t="shared" si="11"/>
        <v>MEC&lt;C, go to Step 5</v>
      </c>
      <c r="K97" s="117"/>
      <c r="L97" s="116" t="str">
        <f>IF('input for RPA'!I103="","",'input for RPA'!I103)</f>
        <v>Y</v>
      </c>
      <c r="M97" s="116" t="str">
        <f>IF('input for RPA'!J103="","",'input for RPA'!J103)</f>
        <v>N</v>
      </c>
      <c r="N97" s="116">
        <f>IF('input for RPA'!K103="","",'input for RPA'!K103)</f>
      </c>
      <c r="O97" s="116">
        <f>IF('input for RPA'!L103="","",'input for RPA'!L103)</f>
        <v>0.004</v>
      </c>
      <c r="P97" s="116">
        <f t="shared" si="13"/>
      </c>
      <c r="Q97" s="12" t="str">
        <f t="shared" si="14"/>
        <v>B&lt;C, Step 7</v>
      </c>
      <c r="R97" s="116">
        <f>'input for RPA'!O103</f>
      </c>
      <c r="S97" s="145" t="str">
        <f t="shared" si="16"/>
        <v>No</v>
      </c>
      <c r="T97" s="146" t="str">
        <f t="shared" si="15"/>
        <v>MEC&lt;C &amp; B&lt;C</v>
      </c>
    </row>
    <row r="98" spans="1:20" ht="12.75">
      <c r="A98" s="9">
        <v>93</v>
      </c>
      <c r="B98" s="10" t="s">
        <v>106</v>
      </c>
      <c r="C98" s="99">
        <f>Criteria!C102</f>
        <v>600</v>
      </c>
      <c r="D98" s="116" t="str">
        <f>IF('input for RPA'!C104="","",'input for RPA'!C104)</f>
        <v>Y</v>
      </c>
      <c r="E98" s="116" t="str">
        <f>IF('input for RPA'!D104="","",'input for RPA'!D104)</f>
        <v>Y</v>
      </c>
      <c r="F98" s="116">
        <f>IF('input for RPA'!E104="","",'input for RPA'!E104)</f>
        <v>10</v>
      </c>
      <c r="G98" s="116">
        <f>IF('input for RPA'!F104="","",'input for RPA'!F104)</f>
      </c>
      <c r="H98" s="12" t="str">
        <f t="shared" si="12"/>
        <v>All ND, MDL&lt;C, MEC=MDL</v>
      </c>
      <c r="I98" s="117">
        <f t="shared" si="10"/>
        <v>10</v>
      </c>
      <c r="J98" s="12" t="str">
        <f t="shared" si="11"/>
        <v>MEC&lt;C, go to Step 5</v>
      </c>
      <c r="K98" s="117"/>
      <c r="L98" s="116" t="str">
        <f>IF('input for RPA'!I104="","",'input for RPA'!I104)</f>
        <v>Y</v>
      </c>
      <c r="M98" s="116" t="str">
        <f>IF('input for RPA'!J104="","",'input for RPA'!J104)</f>
        <v>Y</v>
      </c>
      <c r="N98" s="116">
        <f>IF('input for RPA'!K104="","",'input for RPA'!K104)</f>
        <v>0.3</v>
      </c>
      <c r="O98" s="116">
        <f>IF('input for RPA'!L104="","",'input for RPA'!L104)</f>
      </c>
      <c r="P98" s="116" t="str">
        <f t="shared" si="13"/>
        <v>N</v>
      </c>
      <c r="Q98" s="12" t="str">
        <f t="shared" si="14"/>
        <v>No detected value of B, Step 7</v>
      </c>
      <c r="R98" s="116">
        <f>'input for RPA'!O104</f>
      </c>
      <c r="S98" s="145" t="str">
        <f t="shared" si="16"/>
        <v>No</v>
      </c>
      <c r="T98" s="146" t="str">
        <f t="shared" si="15"/>
        <v>Ud;MEC&lt;C &amp; B is ND</v>
      </c>
    </row>
    <row r="99" spans="1:20" ht="12.75">
      <c r="A99" s="9">
        <v>94</v>
      </c>
      <c r="B99" s="10" t="s">
        <v>107</v>
      </c>
      <c r="C99" s="99" t="str">
        <f>Criteria!C103</f>
        <v>No Criteria</v>
      </c>
      <c r="D99" s="116" t="str">
        <f>IF('input for RPA'!C105="","",'input for RPA'!C105)</f>
        <v>Y</v>
      </c>
      <c r="E99" s="116" t="str">
        <f>IF('input for RPA'!D105="","",'input for RPA'!D105)</f>
        <v>Y</v>
      </c>
      <c r="F99" s="116">
        <f>IF('input for RPA'!E105="","",'input for RPA'!E105)</f>
        <v>0.06</v>
      </c>
      <c r="G99" s="116">
        <f>IF('input for RPA'!F105="","",'input for RPA'!F105)</f>
      </c>
      <c r="H99" s="12" t="str">
        <f t="shared" si="12"/>
        <v>No Criteria</v>
      </c>
      <c r="I99" s="117" t="str">
        <f t="shared" si="10"/>
        <v>No Criteria</v>
      </c>
      <c r="J99" s="12" t="str">
        <f t="shared" si="11"/>
        <v>No Criteria</v>
      </c>
      <c r="K99" s="117"/>
      <c r="L99" s="116" t="str">
        <f>IF('input for RPA'!I105="","",'input for RPA'!I105)</f>
        <v>Y</v>
      </c>
      <c r="M99" s="116" t="str">
        <f>IF('input for RPA'!J105="","",'input for RPA'!J105)</f>
        <v>N</v>
      </c>
      <c r="N99" s="116">
        <f>IF('input for RPA'!K105="","",'input for RPA'!K105)</f>
      </c>
      <c r="O99" s="116">
        <f>IF('input for RPA'!L105="","",'input for RPA'!L105)</f>
        <v>0.0023</v>
      </c>
      <c r="P99" s="116">
        <f t="shared" si="13"/>
      </c>
      <c r="Q99" s="12" t="str">
        <f t="shared" si="14"/>
        <v>No Criteria</v>
      </c>
      <c r="R99" s="116" t="str">
        <f>'input for RPA'!O105</f>
        <v>No Criteria</v>
      </c>
      <c r="S99" s="145" t="str">
        <f t="shared" si="16"/>
        <v>Uo</v>
      </c>
      <c r="T99" s="146" t="str">
        <f t="shared" si="15"/>
        <v>No Criteria</v>
      </c>
    </row>
    <row r="100" spans="1:20" ht="12.75">
      <c r="A100" s="9">
        <v>95</v>
      </c>
      <c r="B100" s="10" t="s">
        <v>108</v>
      </c>
      <c r="C100" s="99">
        <f>Criteria!C104</f>
        <v>1900</v>
      </c>
      <c r="D100" s="116" t="str">
        <f>IF('input for RPA'!C106="","",'input for RPA'!C106)</f>
        <v>Y</v>
      </c>
      <c r="E100" s="116" t="str">
        <f>IF('input for RPA'!D106="","",'input for RPA'!D106)</f>
        <v>Y</v>
      </c>
      <c r="F100" s="116">
        <f>IF('input for RPA'!E106="","",'input for RPA'!E106)</f>
        <v>10</v>
      </c>
      <c r="G100" s="116">
        <f>IF('input for RPA'!F106="","",'input for RPA'!F106)</f>
      </c>
      <c r="H100" s="12" t="str">
        <f t="shared" si="12"/>
        <v>All ND, MDL&lt;C, MEC=MDL</v>
      </c>
      <c r="I100" s="117">
        <f t="shared" si="10"/>
        <v>10</v>
      </c>
      <c r="J100" s="12" t="str">
        <f t="shared" si="11"/>
        <v>MEC&lt;C, go to Step 5</v>
      </c>
      <c r="K100" s="117"/>
      <c r="L100" s="116" t="str">
        <f>IF('input for RPA'!I106="","",'input for RPA'!I106)</f>
        <v>Y</v>
      </c>
      <c r="M100" s="116" t="str">
        <f>IF('input for RPA'!J106="","",'input for RPA'!J106)</f>
        <v>Y</v>
      </c>
      <c r="N100" s="116">
        <f>IF('input for RPA'!K106="","",'input for RPA'!K106)</f>
        <v>0.25</v>
      </c>
      <c r="O100" s="116">
        <f>IF('input for RPA'!L106="","",'input for RPA'!L106)</f>
      </c>
      <c r="P100" s="116" t="str">
        <f t="shared" si="13"/>
        <v>N</v>
      </c>
      <c r="Q100" s="12" t="str">
        <f t="shared" si="14"/>
        <v>No detected value of B, Step 7</v>
      </c>
      <c r="R100" s="116">
        <f>'input for RPA'!O106</f>
      </c>
      <c r="S100" s="145" t="str">
        <f t="shared" si="16"/>
        <v>No</v>
      </c>
      <c r="T100" s="146" t="str">
        <f t="shared" si="15"/>
        <v>Ud;MEC&lt;C &amp; B is ND</v>
      </c>
    </row>
    <row r="101" spans="1:20" ht="12.75">
      <c r="A101" s="9">
        <v>96</v>
      </c>
      <c r="B101" s="10" t="s">
        <v>109</v>
      </c>
      <c r="C101" s="101">
        <f>Criteria!C105</f>
        <v>8.1</v>
      </c>
      <c r="D101" s="116" t="str">
        <f>IF('input for RPA'!C107="","",'input for RPA'!C107)</f>
        <v>Y</v>
      </c>
      <c r="E101" s="116" t="str">
        <f>IF('input for RPA'!D107="","",'input for RPA'!D107)</f>
        <v>Y</v>
      </c>
      <c r="F101" s="116">
        <f>IF('input for RPA'!E107="","",'input for RPA'!E107)</f>
        <v>10</v>
      </c>
      <c r="G101" s="116">
        <f>IF('input for RPA'!F107="","",'input for RPA'!F107)</f>
      </c>
      <c r="H101" s="12" t="str">
        <f t="shared" si="12"/>
        <v>All ND, MinDL&gt;C, Go to Step 5, &amp; IM</v>
      </c>
      <c r="I101" s="117">
        <f aca="true" t="shared" si="17" ref="I101:I125">IF(C101="No Criteria","No Criteria",IF(D101="N","",IF(E101="N",G101,IF(H101="All ND, MDL&lt;C, MEC=MDL",F101,""))))</f>
      </c>
      <c r="J101" s="12">
        <f aca="true" t="shared" si="18" ref="J101:J125">IF(C101="No Criteria","No Criteria",IF(I101="","",IF(I101&gt;=C101,"MEC&gt;=C, Effluent Limits Required","MEC&lt;C, go to Step 5")))</f>
      </c>
      <c r="K101" s="117"/>
      <c r="L101" s="116" t="str">
        <f>IF('input for RPA'!I107="","",'input for RPA'!I107)</f>
        <v>Y</v>
      </c>
      <c r="M101" s="116" t="str">
        <f>IF('input for RPA'!J107="","",'input for RPA'!J107)</f>
        <v>Y</v>
      </c>
      <c r="N101" s="116">
        <f>IF('input for RPA'!K107="","",'input for RPA'!K107)</f>
        <v>0.3</v>
      </c>
      <c r="O101" s="116">
        <f>IF('input for RPA'!L107="","",'input for RPA'!L107)</f>
      </c>
      <c r="P101" s="116" t="str">
        <f t="shared" si="13"/>
        <v>N</v>
      </c>
      <c r="Q101" s="12" t="str">
        <f t="shared" si="14"/>
        <v>No detected value of B, Step 7</v>
      </c>
      <c r="R101" s="116">
        <f>'input for RPA'!O107</f>
      </c>
      <c r="S101" s="145" t="str">
        <f t="shared" si="16"/>
        <v>No</v>
      </c>
      <c r="T101" s="146" t="str">
        <f t="shared" si="15"/>
        <v>UD; effluent data and B are ND</v>
      </c>
    </row>
    <row r="102" spans="1:20" ht="12.75">
      <c r="A102" s="9">
        <v>97</v>
      </c>
      <c r="B102" s="10" t="s">
        <v>110</v>
      </c>
      <c r="C102" s="101">
        <f>Criteria!C106</f>
        <v>1.4</v>
      </c>
      <c r="D102" s="116" t="str">
        <f>IF('input for RPA'!C108="","",'input for RPA'!C108)</f>
        <v>Y</v>
      </c>
      <c r="E102" s="116" t="str">
        <f>IF('input for RPA'!D108="","",'input for RPA'!D108)</f>
        <v>Y</v>
      </c>
      <c r="F102" s="116">
        <f>IF('input for RPA'!E108="","",'input for RPA'!E108)</f>
        <v>10</v>
      </c>
      <c r="G102" s="116">
        <f>IF('input for RPA'!F108="","",'input for RPA'!F108)</f>
      </c>
      <c r="H102" s="12" t="str">
        <f t="shared" si="12"/>
        <v>All ND, MinDL&gt;C, Go to Step 5, &amp; IM</v>
      </c>
      <c r="I102" s="117">
        <f t="shared" si="17"/>
      </c>
      <c r="J102" s="12">
        <f t="shared" si="18"/>
      </c>
      <c r="K102" s="117"/>
      <c r="L102" s="116" t="str">
        <f>IF('input for RPA'!I108="","",'input for RPA'!I108)</f>
        <v>Y</v>
      </c>
      <c r="M102" s="116" t="str">
        <f>IF('input for RPA'!J108="","",'input for RPA'!J108)</f>
        <v>Y</v>
      </c>
      <c r="N102" s="116">
        <f>IF('input for RPA'!K108="","",'input for RPA'!K108)</f>
        <v>0.001</v>
      </c>
      <c r="O102" s="116">
        <f>IF('input for RPA'!L108="","",'input for RPA'!L108)</f>
      </c>
      <c r="P102" s="116" t="str">
        <f t="shared" si="13"/>
        <v>N</v>
      </c>
      <c r="Q102" s="12" t="str">
        <f t="shared" si="14"/>
        <v>No detected value of B, Step 7</v>
      </c>
      <c r="R102" s="116">
        <f>'input for RPA'!O108</f>
      </c>
      <c r="S102" s="145" t="str">
        <f t="shared" si="16"/>
        <v>No</v>
      </c>
      <c r="T102" s="146" t="str">
        <f t="shared" si="15"/>
        <v>UD; effluent data and B are ND</v>
      </c>
    </row>
    <row r="103" spans="1:20" ht="12.75">
      <c r="A103" s="9">
        <v>98</v>
      </c>
      <c r="B103" s="10" t="s">
        <v>111</v>
      </c>
      <c r="C103" s="99">
        <f>Criteria!C107</f>
        <v>16</v>
      </c>
      <c r="D103" s="116" t="str">
        <f>IF('input for RPA'!C109="","",'input for RPA'!C109)</f>
        <v>Y</v>
      </c>
      <c r="E103" s="116" t="str">
        <f>IF('input for RPA'!D109="","",'input for RPA'!D109)</f>
        <v>Y</v>
      </c>
      <c r="F103" s="116">
        <f>IF('input for RPA'!E109="","",'input for RPA'!E109)</f>
        <v>10</v>
      </c>
      <c r="G103" s="116">
        <f>IF('input for RPA'!F109="","",'input for RPA'!F109)</f>
      </c>
      <c r="H103" s="12" t="str">
        <f t="shared" si="12"/>
        <v>All ND, MDL&lt;C, MEC=MDL</v>
      </c>
      <c r="I103" s="117">
        <f t="shared" si="17"/>
        <v>10</v>
      </c>
      <c r="J103" s="12" t="str">
        <f t="shared" si="18"/>
        <v>MEC&lt;C, go to Step 5</v>
      </c>
      <c r="K103" s="117"/>
      <c r="L103" s="116" t="str">
        <f>IF('input for RPA'!I109="","",'input for RPA'!I109)</f>
        <v>Y</v>
      </c>
      <c r="M103" s="116" t="str">
        <f>IF('input for RPA'!J109="","",'input for RPA'!J109)</f>
        <v>Y</v>
      </c>
      <c r="N103" s="116">
        <f>IF('input for RPA'!K109="","",'input for RPA'!K109)</f>
        <v>0.001</v>
      </c>
      <c r="O103" s="116">
        <f>IF('input for RPA'!L109="","",'input for RPA'!L109)</f>
      </c>
      <c r="P103" s="116" t="str">
        <f t="shared" si="13"/>
        <v>N</v>
      </c>
      <c r="Q103" s="12" t="str">
        <f t="shared" si="14"/>
        <v>No detected value of B, Step 7</v>
      </c>
      <c r="R103" s="116">
        <f>'input for RPA'!O109</f>
      </c>
      <c r="S103" s="145" t="str">
        <f t="shared" si="16"/>
        <v>No</v>
      </c>
      <c r="T103" s="146" t="str">
        <f t="shared" si="15"/>
        <v>Ud;MEC&lt;C &amp; B is ND</v>
      </c>
    </row>
    <row r="104" spans="1:20" ht="12.75">
      <c r="A104" s="9">
        <v>99</v>
      </c>
      <c r="B104" s="10" t="s">
        <v>112</v>
      </c>
      <c r="C104" s="99" t="str">
        <f>Criteria!C108</f>
        <v>No Criteria</v>
      </c>
      <c r="D104" s="116" t="str">
        <f>IF('input for RPA'!C110="","",'input for RPA'!C110)</f>
        <v>Y</v>
      </c>
      <c r="E104" s="116" t="str">
        <f>IF('input for RPA'!D110="","",'input for RPA'!D110)</f>
        <v>N</v>
      </c>
      <c r="F104" s="116">
        <f>IF('input for RPA'!E110="","",'input for RPA'!E110)</f>
      </c>
      <c r="G104" s="116">
        <f>IF('input for RPA'!F110="","",'input for RPA'!F110)</f>
        <v>0.149</v>
      </c>
      <c r="H104" s="12" t="str">
        <f t="shared" si="12"/>
        <v>No Criteria</v>
      </c>
      <c r="I104" s="117" t="str">
        <f t="shared" si="17"/>
        <v>No Criteria</v>
      </c>
      <c r="J104" s="12" t="str">
        <f t="shared" si="18"/>
        <v>No Criteria</v>
      </c>
      <c r="K104" s="117"/>
      <c r="L104" s="116" t="str">
        <f>IF('input for RPA'!I110="","",'input for RPA'!I110)</f>
        <v>Y</v>
      </c>
      <c r="M104" s="116" t="str">
        <f>IF('input for RPA'!J110="","",'input for RPA'!J110)</f>
        <v>N</v>
      </c>
      <c r="N104" s="116">
        <f>IF('input for RPA'!K110="","",'input for RPA'!K110)</f>
      </c>
      <c r="O104" s="116">
        <f>IF('input for RPA'!L110="","",'input for RPA'!L110)</f>
        <v>0.0061</v>
      </c>
      <c r="P104" s="116">
        <f t="shared" si="13"/>
      </c>
      <c r="Q104" s="12" t="str">
        <f t="shared" si="14"/>
        <v>No Criteria</v>
      </c>
      <c r="R104" s="116" t="str">
        <f>'input for RPA'!O110</f>
        <v>No Criteria</v>
      </c>
      <c r="S104" s="145" t="str">
        <f t="shared" si="16"/>
        <v>Uo</v>
      </c>
      <c r="T104" s="146" t="str">
        <f t="shared" si="15"/>
        <v>No Criteria</v>
      </c>
    </row>
    <row r="105" spans="1:20" ht="12.75">
      <c r="A105" s="9">
        <v>100</v>
      </c>
      <c r="B105" s="10" t="s">
        <v>113</v>
      </c>
      <c r="C105" s="99">
        <f>Criteria!C109</f>
        <v>11000</v>
      </c>
      <c r="D105" s="116" t="str">
        <f>IF('input for RPA'!C111="","",'input for RPA'!C111)</f>
        <v>Y</v>
      </c>
      <c r="E105" s="116" t="str">
        <f>IF('input for RPA'!D111="","",'input for RPA'!D111)</f>
        <v>Y</v>
      </c>
      <c r="F105" s="116">
        <f>IF('input for RPA'!E111="","",'input for RPA'!E111)</f>
        <v>0.009</v>
      </c>
      <c r="G105" s="116">
        <f>IF('input for RPA'!F111="","",'input for RPA'!F111)</f>
      </c>
      <c r="H105" s="12" t="str">
        <f t="shared" si="12"/>
        <v>All ND, MDL&lt;C, MEC=MDL</v>
      </c>
      <c r="I105" s="117">
        <f t="shared" si="17"/>
        <v>0.009</v>
      </c>
      <c r="J105" s="12" t="str">
        <f t="shared" si="18"/>
        <v>MEC&lt;C, go to Step 5</v>
      </c>
      <c r="K105" s="117"/>
      <c r="L105" s="116" t="str">
        <f>IF('input for RPA'!I111="","",'input for RPA'!I111)</f>
        <v>Y</v>
      </c>
      <c r="M105" s="116" t="str">
        <f>IF('input for RPA'!J111="","",'input for RPA'!J111)</f>
        <v>N</v>
      </c>
      <c r="N105" s="116">
        <f>IF('input for RPA'!K111="","",'input for RPA'!K111)</f>
      </c>
      <c r="O105" s="116">
        <f>IF('input for RPA'!L111="","",'input for RPA'!L111)</f>
        <v>0.0051</v>
      </c>
      <c r="P105" s="116">
        <f t="shared" si="13"/>
      </c>
      <c r="Q105" s="12" t="str">
        <f t="shared" si="14"/>
        <v>B&lt;C, Step 7</v>
      </c>
      <c r="R105" s="116">
        <f>'input for RPA'!O111</f>
      </c>
      <c r="S105" s="145" t="str">
        <f t="shared" si="16"/>
        <v>No</v>
      </c>
      <c r="T105" s="146" t="str">
        <f t="shared" si="15"/>
        <v>MEC&lt;C &amp; B&lt;C</v>
      </c>
    </row>
    <row r="106" spans="1:20" ht="12.75">
      <c r="A106" s="9">
        <v>101</v>
      </c>
      <c r="B106" s="10" t="s">
        <v>114</v>
      </c>
      <c r="C106" s="99" t="str">
        <f>Criteria!C110</f>
        <v>No Criteria</v>
      </c>
      <c r="D106" s="116" t="str">
        <f>IF('input for RPA'!C112="","",'input for RPA'!C112)</f>
        <v>Y</v>
      </c>
      <c r="E106" s="116" t="str">
        <f>IF('input for RPA'!D112="","",'input for RPA'!D112)</f>
        <v>Y</v>
      </c>
      <c r="F106" s="116">
        <f>IF('input for RPA'!E112="","",'input for RPA'!E112)</f>
        <v>10</v>
      </c>
      <c r="G106" s="116">
        <f>IF('input for RPA'!F112="","",'input for RPA'!F112)</f>
      </c>
      <c r="H106" s="12" t="str">
        <f t="shared" si="12"/>
        <v>No Criteria</v>
      </c>
      <c r="I106" s="117" t="str">
        <f t="shared" si="17"/>
        <v>No Criteria</v>
      </c>
      <c r="J106" s="12" t="str">
        <f t="shared" si="18"/>
        <v>No Criteria</v>
      </c>
      <c r="K106" s="117"/>
      <c r="L106" s="116" t="str">
        <f>IF('input for RPA'!I112="","",'input for RPA'!I112)</f>
        <v>Y</v>
      </c>
      <c r="M106" s="116" t="str">
        <f>IF('input for RPA'!J112="","",'input for RPA'!J112)</f>
        <v>Y</v>
      </c>
      <c r="N106" s="116">
        <f>IF('input for RPA'!K112="","",'input for RPA'!K112)</f>
        <v>0.3</v>
      </c>
      <c r="O106" s="116">
        <f>IF('input for RPA'!L112="","",'input for RPA'!L112)</f>
      </c>
      <c r="P106" s="116" t="str">
        <f t="shared" si="13"/>
        <v>N</v>
      </c>
      <c r="Q106" s="12" t="str">
        <f t="shared" si="14"/>
        <v>No Criteria</v>
      </c>
      <c r="R106" s="116" t="str">
        <f>'input for RPA'!O112</f>
        <v>No Criteria</v>
      </c>
      <c r="S106" s="145" t="str">
        <f t="shared" si="16"/>
        <v>Uo</v>
      </c>
      <c r="T106" s="146" t="str">
        <f t="shared" si="15"/>
        <v>No Criteria</v>
      </c>
    </row>
    <row r="107" spans="1:20" ht="12.75">
      <c r="A107" s="9">
        <v>102</v>
      </c>
      <c r="B107" s="10" t="s">
        <v>115</v>
      </c>
      <c r="C107" s="105">
        <f>Criteria!C111</f>
        <v>0.00014</v>
      </c>
      <c r="D107" s="116" t="str">
        <f>IF('input for RPA'!C113="","",'input for RPA'!C113)</f>
        <v>Y</v>
      </c>
      <c r="E107" s="116" t="str">
        <f>IF('input for RPA'!D113="","",'input for RPA'!D113)</f>
        <v>Y</v>
      </c>
      <c r="F107" s="116">
        <f>IF('input for RPA'!E113="","",'input for RPA'!E113)</f>
        <v>0.00202</v>
      </c>
      <c r="G107" s="116">
        <f>IF('input for RPA'!F113="","",'input for RPA'!F113)</f>
      </c>
      <c r="H107" s="12" t="str">
        <f t="shared" si="12"/>
        <v>All ND, MinDL&gt;C, Go to Step 5, &amp; IM</v>
      </c>
      <c r="I107" s="117">
        <f t="shared" si="17"/>
      </c>
      <c r="J107" s="12">
        <f t="shared" si="18"/>
      </c>
      <c r="K107" s="117"/>
      <c r="L107" s="116" t="str">
        <f>IF('input for RPA'!I113="","",'input for RPA'!I113)</f>
        <v>N</v>
      </c>
      <c r="M107" s="116">
        <f>IF('input for RPA'!J113="","",'input for RPA'!J113)</f>
      </c>
      <c r="N107" s="116">
        <f>IF('input for RPA'!K113="","",'input for RPA'!K113)</f>
      </c>
      <c r="O107" s="116">
        <f>IF('input for RPA'!L113="","",'input for RPA'!L113)</f>
      </c>
      <c r="P107" s="116">
        <f t="shared" si="13"/>
      </c>
      <c r="Q107" s="12" t="str">
        <f t="shared" si="14"/>
        <v>No detected value of B, Step 7</v>
      </c>
      <c r="R107" s="116">
        <f>'input for RPA'!O113</f>
      </c>
      <c r="S107" s="145" t="str">
        <f t="shared" si="16"/>
        <v>No</v>
      </c>
      <c r="T107" s="146" t="str">
        <f t="shared" si="15"/>
        <v>MDL&gt;C &amp; No B</v>
      </c>
    </row>
    <row r="108" spans="1:20" ht="12.75">
      <c r="A108" s="9">
        <v>103</v>
      </c>
      <c r="B108" s="10" t="s">
        <v>116</v>
      </c>
      <c r="C108" s="102">
        <f>Criteria!C112</f>
        <v>0.013</v>
      </c>
      <c r="D108" s="116" t="str">
        <f>IF('input for RPA'!C114="","",'input for RPA'!C114)</f>
        <v>Y</v>
      </c>
      <c r="E108" s="116" t="str">
        <f>IF('input for RPA'!D114="","",'input for RPA'!D114)</f>
        <v>Y</v>
      </c>
      <c r="F108" s="116">
        <f>IF('input for RPA'!E114="","",'input for RPA'!E114)</f>
        <v>0.00108</v>
      </c>
      <c r="G108" s="116">
        <f>IF('input for RPA'!F114="","",'input for RPA'!F114)</f>
      </c>
      <c r="H108" s="12" t="str">
        <f t="shared" si="12"/>
        <v>All ND, MDL&lt;C, MEC=MDL</v>
      </c>
      <c r="I108" s="117">
        <f t="shared" si="17"/>
        <v>0.00108</v>
      </c>
      <c r="J108" s="12" t="str">
        <f t="shared" si="18"/>
        <v>MEC&lt;C, go to Step 5</v>
      </c>
      <c r="K108" s="117"/>
      <c r="L108" s="116" t="str">
        <f>IF('input for RPA'!I114="","",'input for RPA'!I114)</f>
        <v>Y</v>
      </c>
      <c r="M108" s="116" t="str">
        <f>IF('input for RPA'!J114="","",'input for RPA'!J114)</f>
        <v>N</v>
      </c>
      <c r="N108" s="116">
        <f>IF('input for RPA'!K114="","",'input for RPA'!K114)</f>
      </c>
      <c r="O108" s="116">
        <f>IF('input for RPA'!L114="","",'input for RPA'!L114)</f>
        <v>0.000496</v>
      </c>
      <c r="P108" s="116">
        <f t="shared" si="13"/>
      </c>
      <c r="Q108" s="12" t="str">
        <f t="shared" si="14"/>
        <v>B&lt;C, Step 7</v>
      </c>
      <c r="R108" s="116">
        <f>'input for RPA'!O114</f>
      </c>
      <c r="S108" s="145" t="str">
        <f t="shared" si="16"/>
        <v>No</v>
      </c>
      <c r="T108" s="146" t="str">
        <f t="shared" si="15"/>
        <v>MEC&lt;C &amp; B&lt;C</v>
      </c>
    </row>
    <row r="109" spans="1:20" ht="12.75">
      <c r="A109" s="9">
        <v>104</v>
      </c>
      <c r="B109" s="10" t="s">
        <v>117</v>
      </c>
      <c r="C109" s="102">
        <f>Criteria!C113</f>
        <v>0.046</v>
      </c>
      <c r="D109" s="116" t="str">
        <f>IF('input for RPA'!C115="","",'input for RPA'!C115)</f>
        <v>Y</v>
      </c>
      <c r="E109" s="116" t="str">
        <f>IF('input for RPA'!D115="","",'input for RPA'!D115)</f>
        <v>Y</v>
      </c>
      <c r="F109" s="116">
        <f>IF('input for RPA'!E115="","",'input for RPA'!E115)</f>
        <v>0.00157</v>
      </c>
      <c r="G109" s="116">
        <f>IF('input for RPA'!F115="","",'input for RPA'!F115)</f>
      </c>
      <c r="H109" s="12" t="str">
        <f t="shared" si="12"/>
        <v>All ND, MDL&lt;C, MEC=MDL</v>
      </c>
      <c r="I109" s="117">
        <f t="shared" si="17"/>
        <v>0.00157</v>
      </c>
      <c r="J109" s="12" t="str">
        <f t="shared" si="18"/>
        <v>MEC&lt;C, go to Step 5</v>
      </c>
      <c r="K109" s="117"/>
      <c r="L109" s="116" t="str">
        <f>IF('input for RPA'!I115="","",'input for RPA'!I115)</f>
        <v>Y</v>
      </c>
      <c r="M109" s="116" t="str">
        <f>IF('input for RPA'!J115="","",'input for RPA'!J115)</f>
        <v>N</v>
      </c>
      <c r="N109" s="116">
        <f>IF('input for RPA'!K115="","",'input for RPA'!K115)</f>
      </c>
      <c r="O109" s="116">
        <f>IF('input for RPA'!L115="","",'input for RPA'!L115)</f>
        <v>0.000413</v>
      </c>
      <c r="P109" s="116">
        <f t="shared" si="13"/>
      </c>
      <c r="Q109" s="12" t="str">
        <f t="shared" si="14"/>
        <v>B&lt;C, Step 7</v>
      </c>
      <c r="R109" s="116">
        <f>'input for RPA'!O115</f>
      </c>
      <c r="S109" s="145" t="str">
        <f t="shared" si="16"/>
        <v>No</v>
      </c>
      <c r="T109" s="146" t="str">
        <f t="shared" si="15"/>
        <v>MEC&lt;C &amp; B&lt;C</v>
      </c>
    </row>
    <row r="110" spans="1:20" ht="12.75">
      <c r="A110" s="9">
        <v>105</v>
      </c>
      <c r="B110" s="10" t="s">
        <v>118</v>
      </c>
      <c r="C110" s="102">
        <f>Criteria!C114</f>
        <v>0.063</v>
      </c>
      <c r="D110" s="116" t="str">
        <f>IF('input for RPA'!C116="","",'input for RPA'!C116)</f>
        <v>Y</v>
      </c>
      <c r="E110" s="116" t="str">
        <f>IF('input for RPA'!D116="","",'input for RPA'!D116)</f>
        <v>Y</v>
      </c>
      <c r="F110" s="116">
        <f>IF('input for RPA'!E116="","",'input for RPA'!E116)</f>
        <v>0.00112</v>
      </c>
      <c r="G110" s="116">
        <f>IF('input for RPA'!F116="","",'input for RPA'!F116)</f>
      </c>
      <c r="H110" s="12" t="str">
        <f t="shared" si="12"/>
        <v>All ND, MDL&lt;C, MEC=MDL</v>
      </c>
      <c r="I110" s="117">
        <f t="shared" si="17"/>
        <v>0.00112</v>
      </c>
      <c r="J110" s="12" t="str">
        <f t="shared" si="18"/>
        <v>MEC&lt;C, go to Step 5</v>
      </c>
      <c r="K110" s="117"/>
      <c r="L110" s="116" t="str">
        <f>IF('input for RPA'!I116="","",'input for RPA'!I116)</f>
        <v>Y</v>
      </c>
      <c r="M110" s="116" t="str">
        <f>IF('input for RPA'!J116="","",'input for RPA'!J116)</f>
        <v>N</v>
      </c>
      <c r="N110" s="116">
        <f>IF('input for RPA'!K116="","",'input for RPA'!K116)</f>
      </c>
      <c r="O110" s="116">
        <f>IF('input for RPA'!L116="","",'input for RPA'!L116)</f>
        <v>0.0007034</v>
      </c>
      <c r="P110" s="116">
        <f t="shared" si="13"/>
      </c>
      <c r="Q110" s="12" t="str">
        <f t="shared" si="14"/>
        <v>B&lt;C, Step 7</v>
      </c>
      <c r="R110" s="116">
        <f>'input for RPA'!O116</f>
      </c>
      <c r="S110" s="145" t="str">
        <f t="shared" si="16"/>
        <v>No</v>
      </c>
      <c r="T110" s="146" t="str">
        <f t="shared" si="15"/>
        <v>MEC&lt;C &amp; B&lt;C</v>
      </c>
    </row>
    <row r="111" spans="1:20" ht="12.75">
      <c r="A111" s="9">
        <v>106</v>
      </c>
      <c r="B111" s="10" t="s">
        <v>119</v>
      </c>
      <c r="C111" s="99" t="str">
        <f>Criteria!C115</f>
        <v>No Criteria</v>
      </c>
      <c r="D111" s="116" t="str">
        <f>IF('input for RPA'!C117="","",'input for RPA'!C117)</f>
        <v>Y</v>
      </c>
      <c r="E111" s="116" t="str">
        <f>IF('input for RPA'!D117="","",'input for RPA'!D117)</f>
        <v>Y</v>
      </c>
      <c r="F111" s="116">
        <f>IF('input for RPA'!E117="","",'input for RPA'!E117)</f>
        <v>0.001</v>
      </c>
      <c r="G111" s="116">
        <f>IF('input for RPA'!F117="","",'input for RPA'!F117)</f>
      </c>
      <c r="H111" s="12" t="str">
        <f t="shared" si="12"/>
        <v>No Criteria</v>
      </c>
      <c r="I111" s="117" t="str">
        <f t="shared" si="17"/>
        <v>No Criteria</v>
      </c>
      <c r="J111" s="12" t="str">
        <f t="shared" si="18"/>
        <v>No Criteria</v>
      </c>
      <c r="K111" s="117"/>
      <c r="L111" s="116" t="str">
        <f>IF('input for RPA'!I117="","",'input for RPA'!I117)</f>
        <v>Y</v>
      </c>
      <c r="M111" s="116" t="str">
        <f>IF('input for RPA'!J117="","",'input for RPA'!J117)</f>
        <v>N</v>
      </c>
      <c r="N111" s="116">
        <f>IF('input for RPA'!K117="","",'input for RPA'!K117)</f>
      </c>
      <c r="O111" s="116">
        <f>IF('input for RPA'!L117="","",'input for RPA'!L117)</f>
        <v>4.2E-05</v>
      </c>
      <c r="P111" s="116">
        <f t="shared" si="13"/>
      </c>
      <c r="Q111" s="12" t="str">
        <f t="shared" si="14"/>
        <v>No Criteria</v>
      </c>
      <c r="R111" s="116" t="str">
        <f>'input for RPA'!O117</f>
        <v>No Criteria</v>
      </c>
      <c r="S111" s="145" t="str">
        <f t="shared" si="16"/>
        <v>Uo</v>
      </c>
      <c r="T111" s="146" t="str">
        <f t="shared" si="15"/>
        <v>No Criteria</v>
      </c>
    </row>
    <row r="112" spans="1:20" ht="12.75">
      <c r="A112" s="15">
        <v>107</v>
      </c>
      <c r="B112" s="16" t="s">
        <v>120</v>
      </c>
      <c r="C112" s="105">
        <f>Criteria!C116</f>
        <v>0.00059</v>
      </c>
      <c r="D112" s="116" t="str">
        <f>IF('input for RPA'!C118="","",'input for RPA'!C118)</f>
        <v>Y</v>
      </c>
      <c r="E112" s="116" t="str">
        <f>IF('input for RPA'!D118="","",'input for RPA'!D118)</f>
        <v>Y</v>
      </c>
      <c r="F112" s="116">
        <f>IF('input for RPA'!E118="","",'input for RPA'!E118)</f>
        <v>0.0034</v>
      </c>
      <c r="G112" s="116">
        <f>IF('input for RPA'!F118="","",'input for RPA'!F118)</f>
      </c>
      <c r="H112" s="12" t="str">
        <f t="shared" si="12"/>
        <v>All ND, MinDL&gt;C, Go to Step 5, &amp; IM</v>
      </c>
      <c r="I112" s="117">
        <f t="shared" si="17"/>
      </c>
      <c r="J112" s="12">
        <f t="shared" si="18"/>
      </c>
      <c r="K112" s="117"/>
      <c r="L112" s="116" t="str">
        <f>IF('input for RPA'!I118="","",'input for RPA'!I118)</f>
        <v>Y</v>
      </c>
      <c r="M112" s="116" t="str">
        <f>IF('input for RPA'!J118="","",'input for RPA'!J118)</f>
        <v>N</v>
      </c>
      <c r="N112" s="116">
        <f>IF('input for RPA'!K118="","",'input for RPA'!K118)</f>
      </c>
      <c r="O112" s="116">
        <f>IF('input for RPA'!L118="","",'input for RPA'!L118)</f>
        <v>0.00018</v>
      </c>
      <c r="P112" s="116">
        <f t="shared" si="13"/>
      </c>
      <c r="Q112" s="12" t="str">
        <f t="shared" si="14"/>
        <v>B&lt;C, Step 7</v>
      </c>
      <c r="R112" s="116">
        <f>'input for RPA'!O118</f>
      </c>
      <c r="S112" s="145" t="str">
        <f t="shared" si="16"/>
        <v>No</v>
      </c>
      <c r="T112" s="146" t="str">
        <f t="shared" si="15"/>
        <v>UD; effluent data ND, MDL&gt;C &amp; B&lt;C</v>
      </c>
    </row>
    <row r="113" spans="1:20" ht="12.75">
      <c r="A113" s="15">
        <v>108</v>
      </c>
      <c r="B113" s="16" t="s">
        <v>121</v>
      </c>
      <c r="C113" s="105">
        <f>Criteria!C117</f>
        <v>0.00059</v>
      </c>
      <c r="D113" s="116" t="str">
        <f>IF('input for RPA'!C119="","",'input for RPA'!C119)</f>
        <v>Y</v>
      </c>
      <c r="E113" s="116" t="str">
        <f>IF('input for RPA'!D119="","",'input for RPA'!D119)</f>
        <v>Y</v>
      </c>
      <c r="F113" s="116">
        <f>IF('input for RPA'!E119="","",'input for RPA'!E119)</f>
        <v>0.00329</v>
      </c>
      <c r="G113" s="116">
        <f>IF('input for RPA'!F119="","",'input for RPA'!F119)</f>
      </c>
      <c r="H113" s="12" t="str">
        <f t="shared" si="12"/>
        <v>All ND, MinDL&gt;C, Go to Step 5, &amp; IM</v>
      </c>
      <c r="I113" s="117">
        <f t="shared" si="17"/>
      </c>
      <c r="J113" s="12">
        <f t="shared" si="18"/>
      </c>
      <c r="K113" s="117"/>
      <c r="L113" s="116" t="str">
        <f>IF('input for RPA'!I119="","",'input for RPA'!I119)</f>
        <v>Y</v>
      </c>
      <c r="M113" s="116" t="str">
        <f>IF('input for RPA'!J119="","",'input for RPA'!J119)</f>
        <v>N</v>
      </c>
      <c r="N113" s="116">
        <f>IF('input for RPA'!K119="","",'input for RPA'!K119)</f>
      </c>
      <c r="O113" s="116">
        <f>IF('input for RPA'!L119="","",'input for RPA'!L119)</f>
        <v>6.6E-05</v>
      </c>
      <c r="P113" s="116">
        <f t="shared" si="13"/>
      </c>
      <c r="Q113" s="12" t="str">
        <f t="shared" si="14"/>
        <v>B&lt;C, Step 7</v>
      </c>
      <c r="R113" s="116">
        <f>'input for RPA'!O119</f>
      </c>
      <c r="S113" s="145" t="str">
        <f t="shared" si="16"/>
        <v>No</v>
      </c>
      <c r="T113" s="146" t="str">
        <f t="shared" si="15"/>
        <v>UD; effluent data ND, MDL&gt;C &amp; B&lt;C</v>
      </c>
    </row>
    <row r="114" spans="1:20" ht="12.75">
      <c r="A114" s="9">
        <v>109</v>
      </c>
      <c r="B114" s="13" t="s">
        <v>122</v>
      </c>
      <c r="C114" s="105">
        <f>Criteria!C118</f>
        <v>0.00059</v>
      </c>
      <c r="D114" s="116" t="str">
        <f>IF('input for RPA'!C120="","",'input for RPA'!C120)</f>
        <v>Y</v>
      </c>
      <c r="E114" s="116" t="str">
        <f>IF('input for RPA'!D120="","",'input for RPA'!D120)</f>
        <v>Y</v>
      </c>
      <c r="F114" s="116">
        <f>IF('input for RPA'!E120="","",'input for RPA'!E120)</f>
        <v>0.00183</v>
      </c>
      <c r="G114" s="116">
        <f>IF('input for RPA'!F120="","",'input for RPA'!F120)</f>
      </c>
      <c r="H114" s="12" t="str">
        <f t="shared" si="12"/>
        <v>All ND, MinDL&gt;C, Go to Step 5, &amp; IM</v>
      </c>
      <c r="I114" s="117">
        <f t="shared" si="17"/>
      </c>
      <c r="J114" s="12">
        <f t="shared" si="18"/>
      </c>
      <c r="K114" s="117"/>
      <c r="L114" s="116" t="str">
        <f>IF('input for RPA'!I120="","",'input for RPA'!I120)</f>
        <v>Y</v>
      </c>
      <c r="M114" s="116" t="str">
        <f>IF('input for RPA'!J120="","",'input for RPA'!J120)</f>
        <v>N</v>
      </c>
      <c r="N114" s="116">
        <f>IF('input for RPA'!K120="","",'input for RPA'!K120)</f>
      </c>
      <c r="O114" s="116">
        <f>IF('input for RPA'!L120="","",'input for RPA'!L120)</f>
        <v>0.000693</v>
      </c>
      <c r="P114" s="116">
        <f t="shared" si="13"/>
      </c>
      <c r="Q114" s="12" t="str">
        <f t="shared" si="14"/>
        <v>B&gt;C, Effluent Limit Required</v>
      </c>
      <c r="R114" s="116">
        <f>'input for RPA'!O120</f>
      </c>
      <c r="S114" s="383" t="str">
        <f t="shared" si="16"/>
        <v>Yes</v>
      </c>
      <c r="T114" s="146" t="str">
        <f t="shared" si="15"/>
        <v>B&gt;C</v>
      </c>
    </row>
    <row r="115" spans="1:20" ht="12.75">
      <c r="A115" s="9">
        <v>110</v>
      </c>
      <c r="B115" s="10" t="s">
        <v>123</v>
      </c>
      <c r="C115" s="105">
        <f>Criteria!C119</f>
        <v>0.00084</v>
      </c>
      <c r="D115" s="116" t="str">
        <f>IF('input for RPA'!C121="","",'input for RPA'!C121)</f>
        <v>Y</v>
      </c>
      <c r="E115" s="116" t="str">
        <f>IF('input for RPA'!D121="","",'input for RPA'!D121)</f>
        <v>Y</v>
      </c>
      <c r="F115" s="116">
        <f>IF('input for RPA'!E121="","",'input for RPA'!E121)</f>
        <v>0.00183</v>
      </c>
      <c r="G115" s="116">
        <f>IF('input for RPA'!F121="","",'input for RPA'!F121)</f>
      </c>
      <c r="H115" s="12" t="str">
        <f t="shared" si="12"/>
        <v>All ND, MinDL&gt;C, Go to Step 5, &amp; IM</v>
      </c>
      <c r="I115" s="117">
        <f t="shared" si="17"/>
      </c>
      <c r="J115" s="12">
        <f t="shared" si="18"/>
      </c>
      <c r="K115" s="117"/>
      <c r="L115" s="116" t="str">
        <f>IF('input for RPA'!I121="","",'input for RPA'!I121)</f>
        <v>Y</v>
      </c>
      <c r="M115" s="116" t="str">
        <f>IF('input for RPA'!J121="","",'input for RPA'!J121)</f>
        <v>N</v>
      </c>
      <c r="N115" s="116">
        <f>IF('input for RPA'!K121="","",'input for RPA'!K121)</f>
      </c>
      <c r="O115" s="116">
        <f>IF('input for RPA'!L121="","",'input for RPA'!L121)</f>
        <v>0.000313</v>
      </c>
      <c r="P115" s="116">
        <f t="shared" si="13"/>
      </c>
      <c r="Q115" s="12" t="str">
        <f t="shared" si="14"/>
        <v>B&lt;C, Step 7</v>
      </c>
      <c r="R115" s="116">
        <f>'input for RPA'!O121</f>
      </c>
      <c r="S115" s="145" t="str">
        <f t="shared" si="16"/>
        <v>No</v>
      </c>
      <c r="T115" s="146" t="str">
        <f t="shared" si="15"/>
        <v>UD; effluent data ND, MDL&gt;C &amp; B&lt;C</v>
      </c>
    </row>
    <row r="116" spans="1:20" ht="12.75">
      <c r="A116" s="9">
        <v>111</v>
      </c>
      <c r="B116" s="47" t="s">
        <v>124</v>
      </c>
      <c r="C116" s="105">
        <f>Criteria!C120</f>
        <v>0.00014</v>
      </c>
      <c r="D116" s="116" t="str">
        <f>IF('input for RPA'!C122="","",'input for RPA'!C122)</f>
        <v>Y</v>
      </c>
      <c r="E116" s="116" t="str">
        <f>IF('input for RPA'!D122="","",'input for RPA'!D122)</f>
        <v>Y</v>
      </c>
      <c r="F116" s="116">
        <f>IF('input for RPA'!E122="","",'input for RPA'!E122)</f>
        <v>0.00193</v>
      </c>
      <c r="G116" s="116">
        <f>IF('input for RPA'!F122="","",'input for RPA'!F122)</f>
      </c>
      <c r="H116" s="12" t="str">
        <f t="shared" si="12"/>
        <v>All ND, MinDL&gt;C, Go to Step 5, &amp; IM</v>
      </c>
      <c r="I116" s="117">
        <f t="shared" si="17"/>
      </c>
      <c r="J116" s="12">
        <f t="shared" si="18"/>
      </c>
      <c r="K116" s="117"/>
      <c r="L116" s="116" t="str">
        <f>IF('input for RPA'!I122="","",'input for RPA'!I122)</f>
        <v>Y</v>
      </c>
      <c r="M116" s="116" t="str">
        <f>IF('input for RPA'!J122="","",'input for RPA'!J122)</f>
        <v>N</v>
      </c>
      <c r="N116" s="116">
        <f>IF('input for RPA'!K122="","",'input for RPA'!K122)</f>
      </c>
      <c r="O116" s="116">
        <f>IF('input for RPA'!L122="","",'input for RPA'!L122)</f>
        <v>0.000264</v>
      </c>
      <c r="P116" s="116">
        <f t="shared" si="13"/>
      </c>
      <c r="Q116" s="12" t="str">
        <f t="shared" si="14"/>
        <v>B&gt;C, Effluent Limit Required</v>
      </c>
      <c r="R116" s="116">
        <f>'input for RPA'!O122</f>
      </c>
      <c r="S116" s="383" t="str">
        <f t="shared" si="16"/>
        <v>Yes</v>
      </c>
      <c r="T116" s="146" t="str">
        <f t="shared" si="15"/>
        <v>B&gt;C</v>
      </c>
    </row>
    <row r="117" spans="1:20" ht="12.75">
      <c r="A117" s="9">
        <v>112</v>
      </c>
      <c r="B117" s="10" t="s">
        <v>125</v>
      </c>
      <c r="C117" s="106">
        <f>Criteria!C121</f>
        <v>0.0087</v>
      </c>
      <c r="D117" s="116" t="str">
        <f>IF('input for RPA'!C123="","",'input for RPA'!C123)</f>
        <v>Y</v>
      </c>
      <c r="E117" s="116" t="str">
        <f>IF('input for RPA'!D123="","",'input for RPA'!D123)</f>
        <v>Y</v>
      </c>
      <c r="F117" s="116">
        <f>IF('input for RPA'!E123="","",'input for RPA'!E123)</f>
        <v>0.00263</v>
      </c>
      <c r="G117" s="116">
        <f>IF('input for RPA'!F123="","",'input for RPA'!F123)</f>
      </c>
      <c r="H117" s="12" t="str">
        <f t="shared" si="12"/>
        <v>All ND, MDL&lt;C, MEC=MDL</v>
      </c>
      <c r="I117" s="117">
        <f t="shared" si="17"/>
        <v>0.00263</v>
      </c>
      <c r="J117" s="12" t="str">
        <f t="shared" si="18"/>
        <v>MEC&lt;C, go to Step 5</v>
      </c>
      <c r="K117" s="117"/>
      <c r="L117" s="116" t="str">
        <f>IF('input for RPA'!I123="","",'input for RPA'!I123)</f>
        <v>Y</v>
      </c>
      <c r="M117" s="116" t="str">
        <f>IF('input for RPA'!J123="","",'input for RPA'!J123)</f>
        <v>N</v>
      </c>
      <c r="N117" s="116">
        <f>IF('input for RPA'!K123="","",'input for RPA'!K123)</f>
      </c>
      <c r="O117" s="116">
        <f>IF('input for RPA'!L123="","",'input for RPA'!L123)</f>
        <v>3.1E-05</v>
      </c>
      <c r="P117" s="116">
        <f t="shared" si="13"/>
      </c>
      <c r="Q117" s="12" t="str">
        <f t="shared" si="14"/>
        <v>B&lt;C, Step 7</v>
      </c>
      <c r="R117" s="116">
        <f>'input for RPA'!O123</f>
      </c>
      <c r="S117" s="145" t="str">
        <f t="shared" si="16"/>
        <v>No</v>
      </c>
      <c r="T117" s="146" t="str">
        <f t="shared" si="15"/>
        <v>MEC&lt;C &amp; B&lt;C</v>
      </c>
    </row>
    <row r="118" spans="1:20" ht="12.75">
      <c r="A118" s="9">
        <v>113</v>
      </c>
      <c r="B118" s="10" t="s">
        <v>126</v>
      </c>
      <c r="C118" s="106">
        <f>Criteria!C122</f>
        <v>0.0087</v>
      </c>
      <c r="D118" s="116" t="str">
        <f>IF('input for RPA'!C124="","",'input for RPA'!C124)</f>
        <v>Y</v>
      </c>
      <c r="E118" s="116" t="str">
        <f>IF('input for RPA'!D124="","",'input for RPA'!D124)</f>
        <v>Y</v>
      </c>
      <c r="F118" s="116">
        <f>IF('input for RPA'!E124="","",'input for RPA'!E124)</f>
        <v>0.00183</v>
      </c>
      <c r="G118" s="116">
        <f>IF('input for RPA'!F124="","",'input for RPA'!F124)</f>
      </c>
      <c r="H118" s="12" t="str">
        <f t="shared" si="12"/>
        <v>All ND, MDL&lt;C, MEC=MDL</v>
      </c>
      <c r="I118" s="117">
        <f t="shared" si="17"/>
        <v>0.00183</v>
      </c>
      <c r="J118" s="12" t="str">
        <f t="shared" si="18"/>
        <v>MEC&lt;C, go to Step 5</v>
      </c>
      <c r="K118" s="117"/>
      <c r="L118" s="116" t="str">
        <f>IF('input for RPA'!I124="","",'input for RPA'!I124)</f>
        <v>Y</v>
      </c>
      <c r="M118" s="116" t="str">
        <f>IF('input for RPA'!J124="","",'input for RPA'!J124)</f>
        <v>N</v>
      </c>
      <c r="N118" s="116">
        <f>IF('input for RPA'!K124="","",'input for RPA'!K124)</f>
      </c>
      <c r="O118" s="116">
        <f>IF('input for RPA'!L124="","",'input for RPA'!L124)</f>
        <v>6.9E-05</v>
      </c>
      <c r="P118" s="116">
        <f t="shared" si="13"/>
      </c>
      <c r="Q118" s="12" t="str">
        <f t="shared" si="14"/>
        <v>B&lt;C, Step 7</v>
      </c>
      <c r="R118" s="116">
        <f>'input for RPA'!O124</f>
      </c>
      <c r="S118" s="145" t="str">
        <f t="shared" si="16"/>
        <v>No</v>
      </c>
      <c r="T118" s="146" t="str">
        <f t="shared" si="15"/>
        <v>MEC&lt;C &amp; B&lt;C</v>
      </c>
    </row>
    <row r="119" spans="1:20" ht="12.75">
      <c r="A119" s="9">
        <v>114</v>
      </c>
      <c r="B119" s="10" t="s">
        <v>127</v>
      </c>
      <c r="C119" s="99">
        <f>Criteria!C123</f>
        <v>240</v>
      </c>
      <c r="D119" s="116" t="str">
        <f>IF('input for RPA'!C125="","",'input for RPA'!C125)</f>
        <v>Y</v>
      </c>
      <c r="E119" s="116" t="str">
        <f>IF('input for RPA'!D125="","",'input for RPA'!D125)</f>
        <v>Y</v>
      </c>
      <c r="F119" s="116">
        <f>IF('input for RPA'!E125="","",'input for RPA'!E125)</f>
        <v>0.00217</v>
      </c>
      <c r="G119" s="116">
        <f>IF('input for RPA'!F125="","",'input for RPA'!F125)</f>
      </c>
      <c r="H119" s="12" t="str">
        <f t="shared" si="12"/>
        <v>All ND, MDL&lt;C, MEC=MDL</v>
      </c>
      <c r="I119" s="117">
        <f t="shared" si="17"/>
        <v>0.00217</v>
      </c>
      <c r="J119" s="12" t="str">
        <f t="shared" si="18"/>
        <v>MEC&lt;C, go to Step 5</v>
      </c>
      <c r="K119" s="117"/>
      <c r="L119" s="116" t="str">
        <f>IF('input for RPA'!I125="","",'input for RPA'!I125)</f>
        <v>Y</v>
      </c>
      <c r="M119" s="116" t="str">
        <f>IF('input for RPA'!J125="","",'input for RPA'!J125)</f>
        <v>N</v>
      </c>
      <c r="N119" s="116">
        <f>IF('input for RPA'!K125="","",'input for RPA'!K125)</f>
      </c>
      <c r="O119" s="116">
        <f>IF('input for RPA'!L125="","",'input for RPA'!L125)</f>
        <v>8.19E-05</v>
      </c>
      <c r="P119" s="116">
        <f t="shared" si="13"/>
      </c>
      <c r="Q119" s="12" t="str">
        <f t="shared" si="14"/>
        <v>B&lt;C, Step 7</v>
      </c>
      <c r="R119" s="116">
        <f>'input for RPA'!O125</f>
      </c>
      <c r="S119" s="145" t="str">
        <f t="shared" si="16"/>
        <v>No</v>
      </c>
      <c r="T119" s="146" t="str">
        <f t="shared" si="15"/>
        <v>MEC&lt;C &amp; B&lt;C</v>
      </c>
    </row>
    <row r="120" spans="1:20" ht="12.75">
      <c r="A120" s="9">
        <v>115</v>
      </c>
      <c r="B120" s="10" t="s">
        <v>128</v>
      </c>
      <c r="C120" s="106">
        <f>Criteria!C124</f>
        <v>0.0023</v>
      </c>
      <c r="D120" s="116" t="str">
        <f>IF('input for RPA'!C126="","",'input for RPA'!C126)</f>
        <v>Y</v>
      </c>
      <c r="E120" s="116" t="str">
        <f>IF('input for RPA'!D126="","",'input for RPA'!D126)</f>
        <v>Y</v>
      </c>
      <c r="F120" s="116">
        <f>IF('input for RPA'!E126="","",'input for RPA'!E126)</f>
        <v>0.00208</v>
      </c>
      <c r="G120" s="116">
        <f>IF('input for RPA'!F126="","",'input for RPA'!F126)</f>
      </c>
      <c r="H120" s="12" t="str">
        <f t="shared" si="12"/>
        <v>All ND, MDL&lt;C, MEC=MDL</v>
      </c>
      <c r="I120" s="117">
        <f t="shared" si="17"/>
        <v>0.00208</v>
      </c>
      <c r="J120" s="12" t="str">
        <f t="shared" si="18"/>
        <v>MEC&lt;C, go to Step 5</v>
      </c>
      <c r="K120" s="117"/>
      <c r="L120" s="116" t="str">
        <f>IF('input for RPA'!I126="","",'input for RPA'!I126)</f>
        <v>Y</v>
      </c>
      <c r="M120" s="116" t="str">
        <f>IF('input for RPA'!J126="","",'input for RPA'!J126)</f>
        <v>N</v>
      </c>
      <c r="N120" s="116">
        <f>IF('input for RPA'!K126="","",'input for RPA'!K126)</f>
      </c>
      <c r="O120" s="116">
        <f>IF('input for RPA'!L126="","",'input for RPA'!L126)</f>
        <v>3.6E-05</v>
      </c>
      <c r="P120" s="116">
        <f t="shared" si="13"/>
      </c>
      <c r="Q120" s="12" t="str">
        <f t="shared" si="14"/>
        <v>B&lt;C, Step 7</v>
      </c>
      <c r="R120" s="116">
        <f>'input for RPA'!O126</f>
      </c>
      <c r="S120" s="145" t="str">
        <f t="shared" si="16"/>
        <v>No</v>
      </c>
      <c r="T120" s="146" t="str">
        <f t="shared" si="15"/>
        <v>MEC&lt;C &amp; B&lt;C</v>
      </c>
    </row>
    <row r="121" spans="1:20" ht="12.75">
      <c r="A121" s="9">
        <v>116</v>
      </c>
      <c r="B121" s="10" t="s">
        <v>129</v>
      </c>
      <c r="C121" s="101">
        <f>Criteria!C125</f>
        <v>0.81</v>
      </c>
      <c r="D121" s="116" t="str">
        <f>IF('input for RPA'!C127="","",'input for RPA'!C127)</f>
        <v>Y</v>
      </c>
      <c r="E121" s="116" t="str">
        <f>IF('input for RPA'!D127="","",'input for RPA'!D127)</f>
        <v>Y</v>
      </c>
      <c r="F121" s="116">
        <f>IF('input for RPA'!E127="","",'input for RPA'!E127)</f>
        <v>0.00241</v>
      </c>
      <c r="G121" s="116">
        <f>IF('input for RPA'!F127="","",'input for RPA'!F127)</f>
      </c>
      <c r="H121" s="12" t="str">
        <f t="shared" si="12"/>
        <v>All ND, MDL&lt;C, MEC=MDL</v>
      </c>
      <c r="I121" s="117">
        <f t="shared" si="17"/>
        <v>0.00241</v>
      </c>
      <c r="J121" s="12" t="str">
        <f t="shared" si="18"/>
        <v>MEC&lt;C, go to Step 5</v>
      </c>
      <c r="K121" s="117"/>
      <c r="L121" s="116" t="str">
        <f>IF('input for RPA'!I127="","",'input for RPA'!I127)</f>
        <v>N</v>
      </c>
      <c r="M121" s="116">
        <f>IF('input for RPA'!J127="","",'input for RPA'!J127)</f>
      </c>
      <c r="N121" s="116">
        <f>IF('input for RPA'!K127="","",'input for RPA'!K127)</f>
      </c>
      <c r="O121" s="116">
        <f>IF('input for RPA'!L127="","",'input for RPA'!L127)</f>
      </c>
      <c r="P121" s="116">
        <f t="shared" si="13"/>
      </c>
      <c r="Q121" s="12" t="str">
        <f t="shared" si="14"/>
        <v>No detected value of B, Step 7</v>
      </c>
      <c r="R121" s="116">
        <f>'input for RPA'!O127</f>
      </c>
      <c r="S121" s="145" t="str">
        <f t="shared" si="16"/>
        <v>No</v>
      </c>
      <c r="T121" s="146" t="str">
        <f t="shared" si="15"/>
        <v>Ud;MEC&lt;C &amp; B is ND</v>
      </c>
    </row>
    <row r="122" spans="1:20" ht="12.75">
      <c r="A122" s="9">
        <v>117</v>
      </c>
      <c r="B122" s="10" t="s">
        <v>130</v>
      </c>
      <c r="C122" s="105">
        <f>Criteria!C126</f>
        <v>0.00021</v>
      </c>
      <c r="D122" s="116" t="str">
        <f>IF('input for RPA'!C128="","",'input for RPA'!C128)</f>
        <v>Y</v>
      </c>
      <c r="E122" s="116" t="str">
        <f>IF('input for RPA'!D128="","",'input for RPA'!D128)</f>
        <v>Y</v>
      </c>
      <c r="F122" s="116">
        <f>IF('input for RPA'!E128="","",'input for RPA'!E128)</f>
        <v>0.001</v>
      </c>
      <c r="G122" s="116">
        <f>IF('input for RPA'!F128="","",'input for RPA'!F128)</f>
      </c>
      <c r="H122" s="12" t="str">
        <f t="shared" si="12"/>
        <v>All ND, MinDL&gt;C, Go to Step 5, &amp; IM</v>
      </c>
      <c r="I122" s="117">
        <f t="shared" si="17"/>
      </c>
      <c r="J122" s="12">
        <f t="shared" si="18"/>
      </c>
      <c r="K122" s="117"/>
      <c r="L122" s="116" t="str">
        <f>IF('input for RPA'!I128="","",'input for RPA'!I128)</f>
        <v>Y</v>
      </c>
      <c r="M122" s="116" t="str">
        <f>IF('input for RPA'!J128="","",'input for RPA'!J128)</f>
        <v>N</v>
      </c>
      <c r="N122" s="116">
        <f>IF('input for RPA'!K128="","",'input for RPA'!K128)</f>
      </c>
      <c r="O122" s="116">
        <f>IF('input for RPA'!L128="","",'input for RPA'!L128)</f>
        <v>1.9E-05</v>
      </c>
      <c r="P122" s="116">
        <f t="shared" si="13"/>
      </c>
      <c r="Q122" s="12" t="str">
        <f t="shared" si="14"/>
        <v>B&lt;C, Step 7</v>
      </c>
      <c r="R122" s="116">
        <f>'input for RPA'!O128</f>
      </c>
      <c r="S122" s="145" t="str">
        <f t="shared" si="16"/>
        <v>No</v>
      </c>
      <c r="T122" s="146" t="str">
        <f t="shared" si="15"/>
        <v>UD; effluent data ND, MDL&gt;C &amp; B&lt;C</v>
      </c>
    </row>
    <row r="123" spans="1:20" ht="12.75">
      <c r="A123" s="9">
        <v>118</v>
      </c>
      <c r="B123" s="10" t="s">
        <v>131</v>
      </c>
      <c r="C123" s="105">
        <f>Criteria!C127</f>
        <v>0.00011</v>
      </c>
      <c r="D123" s="116" t="str">
        <f>IF('input for RPA'!C129="","",'input for RPA'!C129)</f>
        <v>Y</v>
      </c>
      <c r="E123" s="116" t="str">
        <f>IF('input for RPA'!D129="","",'input for RPA'!D129)</f>
        <v>Y</v>
      </c>
      <c r="F123" s="116">
        <f>IF('input for RPA'!E129="","",'input for RPA'!E129)</f>
        <v>0.00123</v>
      </c>
      <c r="G123" s="116">
        <f>IF('input for RPA'!F129="","",'input for RPA'!F129)</f>
      </c>
      <c r="H123" s="12" t="str">
        <f t="shared" si="12"/>
        <v>All ND, MinDL&gt;C, Go to Step 5, &amp; IM</v>
      </c>
      <c r="I123" s="117">
        <f t="shared" si="17"/>
      </c>
      <c r="J123" s="12">
        <f t="shared" si="18"/>
      </c>
      <c r="K123" s="117"/>
      <c r="L123" s="116" t="str">
        <f>IF('input for RPA'!I129="","",'input for RPA'!I129)</f>
        <v>Y</v>
      </c>
      <c r="M123" s="116" t="str">
        <f>IF('input for RPA'!J129="","",'input for RPA'!J129)</f>
        <v>N</v>
      </c>
      <c r="N123" s="116">
        <f>IF('input for RPA'!K129="","",'input for RPA'!K129)</f>
      </c>
      <c r="O123" s="116">
        <f>IF('input for RPA'!L129="","",'input for RPA'!L129)</f>
        <v>9.4E-05</v>
      </c>
      <c r="P123" s="116">
        <f t="shared" si="13"/>
      </c>
      <c r="Q123" s="12" t="str">
        <f t="shared" si="14"/>
        <v>B&lt;C, Step 7</v>
      </c>
      <c r="R123" s="116">
        <f>'input for RPA'!O129</f>
      </c>
      <c r="S123" s="145" t="str">
        <f t="shared" si="16"/>
        <v>No</v>
      </c>
      <c r="T123" s="146" t="str">
        <f t="shared" si="15"/>
        <v>UD; effluent data ND, MDL&gt;C &amp; B&lt;C</v>
      </c>
    </row>
    <row r="124" spans="1:20" ht="12.75">
      <c r="A124" s="151" t="s">
        <v>227</v>
      </c>
      <c r="B124" s="225" t="s">
        <v>228</v>
      </c>
      <c r="C124" s="152">
        <f>Criteria!C128</f>
        <v>0.00017</v>
      </c>
      <c r="D124" s="116" t="str">
        <f>IF('input for RPA'!C130="","",'input for RPA'!C130)</f>
        <v>Y</v>
      </c>
      <c r="E124" s="116" t="str">
        <f>IF('input for RPA'!D130="","",'input for RPA'!D130)</f>
        <v>Y</v>
      </c>
      <c r="F124" s="116">
        <f>IF('input for RPA'!E130="","",'input for RPA'!E130)</f>
        <v>0.1</v>
      </c>
      <c r="G124" s="116">
        <f>IF('input for RPA'!F130="","",'input for RPA'!F130)</f>
      </c>
      <c r="H124" s="12" t="str">
        <f t="shared" si="12"/>
        <v>All ND, MinDL&gt;C, Go to Step 5, &amp; IM</v>
      </c>
      <c r="I124" s="117">
        <f t="shared" si="17"/>
      </c>
      <c r="J124" s="12">
        <f t="shared" si="18"/>
      </c>
      <c r="K124" s="117"/>
      <c r="L124" s="116" t="str">
        <f>IF('input for RPA'!I130="","",'input for RPA'!I130)</f>
        <v>N</v>
      </c>
      <c r="M124" s="116">
        <f>IF('input for RPA'!J130="","",'input for RPA'!J130)</f>
      </c>
      <c r="N124" s="116">
        <f>IF('input for RPA'!K130="","",'input for RPA'!K130)</f>
      </c>
      <c r="O124" s="116">
        <f>IF('input for RPA'!L130="","",'input for RPA'!L130)</f>
      </c>
      <c r="P124" s="116">
        <f t="shared" si="13"/>
      </c>
      <c r="Q124" s="12" t="str">
        <f t="shared" si="14"/>
        <v>No detected value of B, Step 7</v>
      </c>
      <c r="R124" s="116">
        <f>'input for RPA'!O130</f>
      </c>
      <c r="S124" s="145" t="str">
        <f t="shared" si="16"/>
        <v>No</v>
      </c>
      <c r="T124" s="146" t="str">
        <f t="shared" si="15"/>
        <v>MDL&gt;C &amp; No B</v>
      </c>
    </row>
    <row r="125" spans="1:20" ht="12.75">
      <c r="A125" s="153">
        <v>126</v>
      </c>
      <c r="B125" s="154" t="s">
        <v>132</v>
      </c>
      <c r="C125" s="152">
        <f>Criteria!C129</f>
        <v>0.0002</v>
      </c>
      <c r="D125" s="116" t="str">
        <f>IF('input for RPA'!C131="","",'input for RPA'!C131)</f>
        <v>Y</v>
      </c>
      <c r="E125" s="116" t="str">
        <f>IF('input for RPA'!D131="","",'input for RPA'!D131)</f>
        <v>Y</v>
      </c>
      <c r="F125" s="116">
        <f>IF('input for RPA'!E131="","",'input for RPA'!E131)</f>
        <v>0.035</v>
      </c>
      <c r="G125" s="116">
        <f>IF('input for RPA'!F131="","",'input for RPA'!F131)</f>
      </c>
      <c r="H125" s="12" t="str">
        <f t="shared" si="12"/>
        <v>All ND, MinDL&gt;C, Go to Step 5, &amp; IM</v>
      </c>
      <c r="I125" s="117">
        <f t="shared" si="17"/>
      </c>
      <c r="J125" s="12">
        <f t="shared" si="18"/>
      </c>
      <c r="K125" s="117"/>
      <c r="L125" s="116" t="str">
        <f>IF('input for RPA'!I131="","",'input for RPA'!I131)</f>
        <v>N</v>
      </c>
      <c r="M125" s="116">
        <f>IF('input for RPA'!J131="","",'input for RPA'!J131)</f>
      </c>
      <c r="N125" s="116">
        <f>IF('input for RPA'!K131="","",'input for RPA'!K131)</f>
      </c>
      <c r="O125" s="116">
        <f>IF('input for RPA'!L131="","",'input for RPA'!L131)</f>
      </c>
      <c r="P125" s="116">
        <f t="shared" si="13"/>
      </c>
      <c r="Q125" s="12" t="str">
        <f t="shared" si="14"/>
        <v>No detected value of B, Step 7</v>
      </c>
      <c r="R125" s="116">
        <f>'input for RPA'!O131</f>
      </c>
      <c r="S125" s="145" t="str">
        <f t="shared" si="16"/>
        <v>No</v>
      </c>
      <c r="T125" s="146" t="str">
        <f t="shared" si="15"/>
        <v>MDL&gt;C &amp; No B</v>
      </c>
    </row>
    <row r="126" spans="1:20" ht="12.75">
      <c r="A126" s="153"/>
      <c r="B126" s="154" t="s">
        <v>263</v>
      </c>
      <c r="C126" s="152">
        <f>Criteria!C130</f>
        <v>0.01</v>
      </c>
      <c r="D126" s="116" t="str">
        <f>IF('input for RPA'!C132="","",'input for RPA'!C132)</f>
        <v>Y</v>
      </c>
      <c r="E126" s="116" t="str">
        <f>IF('input for RPA'!D132="","",'input for RPA'!D132)</f>
        <v>N</v>
      </c>
      <c r="F126" s="116">
        <f>IF('input for RPA'!E132="","",'input for RPA'!E132)</f>
      </c>
      <c r="G126" s="116">
        <f>IF('input for RPA'!F132="","",'input for RPA'!F132)</f>
        <v>0.0046</v>
      </c>
      <c r="H126" s="12">
        <f>IF(C126="No Criteria","No Criteria",IF(D126="N","No effluent data",IF(E126="N","",IF(F126&lt;C126,"All ND, MDL&lt;C, MEC=MDL","All ND, MinDL&gt;C, Go to Step 5, &amp; IM"))))</f>
      </c>
      <c r="I126" s="117">
        <f>IF(C126="No Criteria","No Criteria",IF(D126="N","",IF(E126="N",G126,IF(H126="All ND, MDL&lt;C, MEC=MDL",F126,""))))</f>
        <v>0.0046</v>
      </c>
      <c r="J126" s="12" t="str">
        <f>IF(C126="No Criteria","No Criteria",IF(I126="","",IF(I126&gt;=C126,"MEC&gt;=C, Effluent Limits Required","MEC&lt;C, go to Step 5")))</f>
        <v>MEC&lt;C, go to Step 5</v>
      </c>
      <c r="K126" s="117"/>
      <c r="L126" s="116" t="str">
        <f>IF('input for RPA'!I132="","",'input for RPA'!I132)</f>
        <v>Y</v>
      </c>
      <c r="M126" s="116" t="str">
        <f>IF('input for RPA'!J132="","",'input for RPA'!J132)</f>
        <v>Y</v>
      </c>
      <c r="N126" s="116">
        <f>IF('input for RPA'!K132="","",'input for RPA'!K132)</f>
        <v>0.001</v>
      </c>
      <c r="O126" s="116">
        <f>IF('input for RPA'!L132="","",'input for RPA'!L132)</f>
      </c>
      <c r="P126" s="116" t="str">
        <f t="shared" si="13"/>
        <v>N</v>
      </c>
      <c r="Q126" s="12" t="str">
        <f t="shared" si="14"/>
        <v>No detected value of B, Step 7</v>
      </c>
      <c r="R126" s="116">
        <f>'input for RPA'!O132</f>
      </c>
      <c r="S126" s="145" t="str">
        <f t="shared" si="16"/>
        <v>No</v>
      </c>
      <c r="T126" s="146" t="str">
        <f t="shared" si="15"/>
        <v>Ud;MEC&lt;C &amp; B is ND</v>
      </c>
    </row>
    <row r="127" spans="1:20" ht="12.75">
      <c r="A127" s="153"/>
      <c r="B127" s="154" t="s">
        <v>427</v>
      </c>
      <c r="C127" s="152">
        <f>Criteria!C131</f>
        <v>15</v>
      </c>
      <c r="D127" s="116" t="str">
        <f>IF('input for RPA'!C133="","",'input for RPA'!C133)</f>
        <v>Y</v>
      </c>
      <c r="E127" s="116" t="str">
        <f>IF('input for RPA'!D133="","",'input for RPA'!D133)</f>
        <v>N</v>
      </c>
      <c r="F127" s="116">
        <f>IF('input for RPA'!E133="","",'input for RPA'!E133)</f>
      </c>
      <c r="G127" s="116">
        <f>IF('input for RPA'!F133="","",'input for RPA'!F133)</f>
        <v>0.155</v>
      </c>
      <c r="H127" s="12">
        <f>IF(C127="No Criteria","No Criteria",IF(D127="N","No effluent data",IF(E127="N","",IF(F127&lt;C127,"All ND, MDL&lt;C, MEC=MDL","All ND, MinDL&gt;C, Go to Step 5, &amp; IM"))))</f>
      </c>
      <c r="I127" s="117">
        <f>IF(C127="No Criteria","No Criteria",IF(D127="N","",IF(E127="N",G127,IF(H127="All ND, MDL&lt;C, MEC=MDL",F127,""))))</f>
        <v>0.155</v>
      </c>
      <c r="J127" s="12" t="str">
        <f>IF(C127="No Criteria","No Criteria",IF(I127="","",IF(I127&gt;=C127,"MEC&gt;=C, Effluent Limits Required","MEC&lt;C, go to Step 5")))</f>
        <v>MEC&lt;C, go to Step 5</v>
      </c>
      <c r="K127" s="117"/>
      <c r="L127" s="116" t="str">
        <f>IF('input for RPA'!I133="","",'input for RPA'!I133)</f>
        <v>Y</v>
      </c>
      <c r="M127" s="116" t="str">
        <f>IF('input for RPA'!J133="","",'input for RPA'!J133)</f>
        <v>N</v>
      </c>
      <c r="N127" s="116">
        <f>IF('input for RPA'!K133="","",'input for RPA'!K133)</f>
      </c>
      <c r="O127" s="116">
        <f>IF('input for RPA'!L133="","",'input for RPA'!L133)</f>
        <v>0.052</v>
      </c>
      <c r="P127" s="116">
        <f>IF(N127="","",IF(N127&gt;C127,"Y","N"))</f>
      </c>
      <c r="Q127" s="12" t="str">
        <f>IF(C127="No Criteria","No Criteria",IF(O127="","No detected value of B, Step 7",IF(O127&gt;C127,"B&gt;C, Effluent Limit Required","B&lt;C, Step 7")))</f>
        <v>B&lt;C, Step 7</v>
      </c>
      <c r="R127" s="116">
        <f>'input for RPA'!O133</f>
      </c>
      <c r="S127" s="145" t="str">
        <f>IF(C127="No Criteria","Uo",IF(D127="N",IF(L127="N","Ud",IF(M127="Y","No",IF(O127&gt;C127,"Yes","Ud"))),IF(H127="All ND, MinDL&gt;C, Go to Step 5, &amp; IM",IF(L127="N","No",IF(M127="Y","No",IF(O127&gt;C127,"Yes","No"))),IF(I127="No Criteria","Uo",IF(I127&gt;C127,"Yes",IF(M127="N",IF(O127&gt;C127,"Yes","No"),"No"))))))</f>
        <v>No</v>
      </c>
      <c r="T127" s="146" t="str">
        <f>IF(C127="No Criteria","No Criteria",IF(D127="N",IF(L127="N","no effluent data &amp; no B",IF(M127="Y","Ud, no effluent data &amp; B is ND",IF(O127&gt;C127,"B&gt;C","no effluent data &amp; B&lt;C"))),IF(H127="All ND, MinDL&gt;C, Go to Step 5, &amp; IM",IF(L127="N","MDL&gt;C &amp; No B",IF(M127="Y","UD; effluent data and B are ND",IF(O127&gt;C127,"B&gt;C","UD; effluent data ND, MDL&gt;C &amp; B&lt;C"))),IF(I127="No Criteria","No Criteria",IF(I127&gt;C127,"MEC&gt;C",IF(M127="N",IF(O127&gt;C127,"B&gt;C","MEC&lt;C &amp; B&lt;C"),"Ud;MEC&lt;C &amp; B is ND"))))))</f>
        <v>MEC&lt;C &amp; B&lt;C</v>
      </c>
    </row>
    <row r="128" spans="3:20" ht="12.75">
      <c r="C128" s="100"/>
      <c r="D128" s="25"/>
      <c r="E128" s="25"/>
      <c r="F128" s="25"/>
      <c r="G128" s="25"/>
      <c r="H128" s="25"/>
      <c r="I128" s="113"/>
      <c r="J128" s="25"/>
      <c r="K128" s="25"/>
      <c r="L128" s="25"/>
      <c r="M128" s="25"/>
      <c r="N128" s="25"/>
      <c r="O128" s="25"/>
      <c r="P128" s="25"/>
      <c r="Q128" s="24"/>
      <c r="R128" s="25"/>
      <c r="S128" s="100"/>
      <c r="T128" s="100"/>
    </row>
    <row r="129" spans="3:20" ht="12.75">
      <c r="C129" s="20"/>
      <c r="D129" s="22"/>
      <c r="E129" s="22"/>
      <c r="F129" s="22"/>
      <c r="G129" s="22"/>
      <c r="H129" s="22"/>
      <c r="I129" s="112"/>
      <c r="J129" s="22"/>
      <c r="K129" s="22"/>
      <c r="L129" s="22"/>
      <c r="M129" s="22"/>
      <c r="N129" s="22"/>
      <c r="O129" s="22"/>
      <c r="P129" s="22"/>
      <c r="R129" s="22"/>
      <c r="S129" s="21"/>
      <c r="T129" s="21"/>
    </row>
    <row r="130" spans="3:20" ht="12.75">
      <c r="C130" s="20"/>
      <c r="D130" s="22"/>
      <c r="E130" s="22"/>
      <c r="F130" s="22"/>
      <c r="G130" s="22"/>
      <c r="H130" s="22"/>
      <c r="I130" s="112"/>
      <c r="J130" s="22"/>
      <c r="K130" s="22"/>
      <c r="L130" s="22"/>
      <c r="M130" s="22"/>
      <c r="N130" s="22"/>
      <c r="O130" s="22"/>
      <c r="P130" s="22"/>
      <c r="R130" s="22"/>
      <c r="S130" s="21"/>
      <c r="T130" s="21"/>
    </row>
    <row r="131" spans="3:20" ht="12.75">
      <c r="C131" s="20"/>
      <c r="D131" s="22"/>
      <c r="E131" s="22"/>
      <c r="F131" s="22"/>
      <c r="G131" s="22"/>
      <c r="H131" s="22"/>
      <c r="I131" s="112"/>
      <c r="J131" s="22"/>
      <c r="K131" s="22"/>
      <c r="L131" s="22"/>
      <c r="M131" s="22"/>
      <c r="N131" s="22"/>
      <c r="O131" s="22"/>
      <c r="P131" s="22"/>
      <c r="R131" s="22"/>
      <c r="S131" s="21"/>
      <c r="T131" s="21"/>
    </row>
    <row r="132" spans="3:20" ht="12.75">
      <c r="C132" s="20"/>
      <c r="D132" s="22"/>
      <c r="E132" s="22"/>
      <c r="F132" s="22"/>
      <c r="G132" s="22"/>
      <c r="H132" s="22"/>
      <c r="I132" s="112"/>
      <c r="J132" s="22"/>
      <c r="K132" s="22"/>
      <c r="L132" s="22"/>
      <c r="M132" s="22"/>
      <c r="N132" s="22"/>
      <c r="O132" s="22"/>
      <c r="P132" s="22"/>
      <c r="R132" s="22"/>
      <c r="S132" s="21"/>
      <c r="T132" s="21"/>
    </row>
    <row r="133" spans="3:20" ht="12.75">
      <c r="C133" s="20"/>
      <c r="D133" s="22"/>
      <c r="E133" s="22"/>
      <c r="F133" s="22"/>
      <c r="G133" s="22"/>
      <c r="H133" s="22"/>
      <c r="I133" s="112"/>
      <c r="J133" s="22"/>
      <c r="K133" s="22"/>
      <c r="L133" s="22"/>
      <c r="M133" s="22"/>
      <c r="N133" s="22"/>
      <c r="O133" s="22"/>
      <c r="P133" s="22"/>
      <c r="R133" s="22"/>
      <c r="S133" s="21"/>
      <c r="T133" s="21"/>
    </row>
    <row r="134" spans="3:20" ht="12.75">
      <c r="C134" s="20"/>
      <c r="D134" s="22"/>
      <c r="E134" s="22"/>
      <c r="F134" s="22"/>
      <c r="G134" s="22"/>
      <c r="H134" s="22"/>
      <c r="I134" s="112"/>
      <c r="J134" s="22"/>
      <c r="K134" s="22"/>
      <c r="L134" s="22"/>
      <c r="M134" s="22"/>
      <c r="N134" s="22"/>
      <c r="O134" s="22"/>
      <c r="P134" s="22"/>
      <c r="R134" s="22"/>
      <c r="S134" s="21"/>
      <c r="T134" s="21"/>
    </row>
    <row r="135" spans="3:20" ht="12.75">
      <c r="C135" s="20"/>
      <c r="D135" s="22"/>
      <c r="E135" s="22"/>
      <c r="F135" s="22"/>
      <c r="G135" s="22"/>
      <c r="H135" s="22"/>
      <c r="I135" s="112"/>
      <c r="J135" s="22"/>
      <c r="K135" s="22"/>
      <c r="L135" s="22"/>
      <c r="M135" s="22"/>
      <c r="N135" s="22"/>
      <c r="O135" s="22"/>
      <c r="P135" s="22"/>
      <c r="R135" s="22"/>
      <c r="S135" s="21"/>
      <c r="T135" s="21"/>
    </row>
    <row r="136" spans="3:20" ht="12.75">
      <c r="C136" s="20"/>
      <c r="D136" s="22"/>
      <c r="E136" s="22"/>
      <c r="F136" s="22"/>
      <c r="G136" s="22"/>
      <c r="H136" s="22"/>
      <c r="I136" s="112"/>
      <c r="J136" s="22"/>
      <c r="K136" s="22"/>
      <c r="L136" s="22"/>
      <c r="M136" s="22"/>
      <c r="N136" s="22"/>
      <c r="O136" s="22"/>
      <c r="P136" s="22"/>
      <c r="R136" s="22"/>
      <c r="S136" s="21"/>
      <c r="T136" s="21"/>
    </row>
    <row r="137" spans="3:20" ht="12.75">
      <c r="C137" s="20"/>
      <c r="D137" s="22"/>
      <c r="E137" s="22"/>
      <c r="F137" s="22"/>
      <c r="G137" s="22"/>
      <c r="H137" s="22"/>
      <c r="I137" s="112"/>
      <c r="J137" s="22"/>
      <c r="K137" s="22"/>
      <c r="L137" s="22"/>
      <c r="M137" s="22"/>
      <c r="N137" s="22"/>
      <c r="O137" s="22"/>
      <c r="P137" s="22"/>
      <c r="R137" s="22"/>
      <c r="S137" s="21"/>
      <c r="T137" s="21"/>
    </row>
    <row r="138" spans="3:20" ht="12.75">
      <c r="C138" s="20"/>
      <c r="D138" s="22"/>
      <c r="E138" s="22"/>
      <c r="F138" s="22"/>
      <c r="G138" s="22"/>
      <c r="H138" s="22"/>
      <c r="I138" s="112"/>
      <c r="J138" s="22"/>
      <c r="K138" s="22"/>
      <c r="L138" s="22"/>
      <c r="M138" s="22"/>
      <c r="N138" s="22"/>
      <c r="O138" s="22"/>
      <c r="P138" s="22"/>
      <c r="R138" s="22"/>
      <c r="S138" s="21"/>
      <c r="T138" s="21"/>
    </row>
    <row r="139" spans="3:20" ht="12.75">
      <c r="C139" s="20"/>
      <c r="D139" s="22"/>
      <c r="E139" s="22"/>
      <c r="F139" s="22"/>
      <c r="G139" s="22"/>
      <c r="H139" s="22"/>
      <c r="I139" s="112"/>
      <c r="J139" s="22"/>
      <c r="K139" s="22"/>
      <c r="L139" s="22"/>
      <c r="M139" s="22"/>
      <c r="N139" s="22"/>
      <c r="O139" s="22"/>
      <c r="P139" s="22"/>
      <c r="R139" s="22"/>
      <c r="S139" s="21"/>
      <c r="T139" s="21"/>
    </row>
    <row r="140" spans="3:20" ht="12.75">
      <c r="C140" s="20"/>
      <c r="D140" s="22"/>
      <c r="E140" s="22"/>
      <c r="F140" s="22"/>
      <c r="G140" s="22"/>
      <c r="H140" s="22"/>
      <c r="I140" s="112"/>
      <c r="J140" s="22"/>
      <c r="K140" s="22"/>
      <c r="L140" s="22"/>
      <c r="M140" s="22"/>
      <c r="N140" s="22"/>
      <c r="O140" s="22"/>
      <c r="P140" s="22"/>
      <c r="R140" s="22"/>
      <c r="S140" s="21"/>
      <c r="T140" s="21"/>
    </row>
    <row r="141" spans="3:20" ht="12.75">
      <c r="C141" s="20"/>
      <c r="D141" s="22"/>
      <c r="E141" s="22"/>
      <c r="F141" s="22"/>
      <c r="G141" s="22"/>
      <c r="H141" s="22"/>
      <c r="I141" s="112"/>
      <c r="J141" s="22"/>
      <c r="K141" s="22"/>
      <c r="L141" s="22"/>
      <c r="M141" s="22"/>
      <c r="N141" s="22"/>
      <c r="O141" s="22"/>
      <c r="P141" s="22"/>
      <c r="R141" s="22"/>
      <c r="S141" s="21"/>
      <c r="T141" s="21"/>
    </row>
    <row r="142" spans="3:20" ht="12.75">
      <c r="C142" s="20"/>
      <c r="D142" s="22"/>
      <c r="E142" s="22"/>
      <c r="F142" s="22"/>
      <c r="G142" s="22"/>
      <c r="H142" s="22"/>
      <c r="I142" s="112"/>
      <c r="J142" s="22"/>
      <c r="K142" s="22"/>
      <c r="L142" s="22"/>
      <c r="M142" s="22"/>
      <c r="N142" s="22"/>
      <c r="O142" s="22"/>
      <c r="P142" s="22"/>
      <c r="R142" s="22"/>
      <c r="S142" s="21"/>
      <c r="T142" s="21"/>
    </row>
    <row r="143" spans="3:20" ht="12.75">
      <c r="C143" s="20"/>
      <c r="D143" s="22"/>
      <c r="E143" s="22"/>
      <c r="F143" s="22"/>
      <c r="G143" s="22"/>
      <c r="H143" s="22"/>
      <c r="I143" s="112"/>
      <c r="J143" s="22"/>
      <c r="K143" s="22"/>
      <c r="L143" s="22"/>
      <c r="M143" s="22"/>
      <c r="N143" s="22"/>
      <c r="O143" s="22"/>
      <c r="P143" s="22"/>
      <c r="R143" s="22"/>
      <c r="S143" s="21"/>
      <c r="T143" s="21"/>
    </row>
    <row r="144" spans="3:20" ht="12.75">
      <c r="C144" s="19"/>
      <c r="S144" s="19"/>
      <c r="T144" s="19"/>
    </row>
    <row r="145" spans="3:20" ht="12.75">
      <c r="C145" s="19"/>
      <c r="S145" s="19"/>
      <c r="T145" s="19"/>
    </row>
    <row r="146" spans="3:20" ht="12.75">
      <c r="C146" s="19"/>
      <c r="S146" s="19"/>
      <c r="T146" s="19"/>
    </row>
    <row r="147" spans="3:20" ht="12.75">
      <c r="C147" s="19"/>
      <c r="S147" s="19"/>
      <c r="T147" s="19"/>
    </row>
    <row r="148" spans="3:20" ht="12.75">
      <c r="C148" s="19"/>
      <c r="S148" s="19"/>
      <c r="T148" s="19"/>
    </row>
    <row r="149" spans="3:20" ht="12.75">
      <c r="C149" s="19"/>
      <c r="S149" s="19"/>
      <c r="T149" s="19"/>
    </row>
    <row r="150" spans="3:20" ht="12.75">
      <c r="C150" s="19"/>
      <c r="S150" s="19"/>
      <c r="T150" s="19"/>
    </row>
    <row r="151" spans="3:20" ht="12.75">
      <c r="C151" s="19"/>
      <c r="S151" s="19"/>
      <c r="T151" s="19"/>
    </row>
    <row r="152" spans="3:20" ht="12.75">
      <c r="C152" s="19"/>
      <c r="S152" s="19"/>
      <c r="T152" s="19"/>
    </row>
    <row r="153" spans="3:20" ht="12.75">
      <c r="C153" s="19"/>
      <c r="S153" s="19"/>
      <c r="T153" s="19"/>
    </row>
    <row r="154" spans="3:20" ht="12.75">
      <c r="C154" s="19"/>
      <c r="S154" s="19"/>
      <c r="T154" s="19"/>
    </row>
    <row r="155" spans="3:20" ht="12.75">
      <c r="C155" s="19"/>
      <c r="S155" s="19"/>
      <c r="T155" s="19"/>
    </row>
    <row r="156" spans="3:20" ht="12.75">
      <c r="C156" s="19"/>
      <c r="S156" s="19"/>
      <c r="T156" s="19"/>
    </row>
    <row r="157" spans="3:20" ht="12.75">
      <c r="C157" s="19"/>
      <c r="S157" s="19"/>
      <c r="T157" s="19"/>
    </row>
    <row r="158" spans="3:20" ht="12.75">
      <c r="C158" s="19"/>
      <c r="S158" s="19"/>
      <c r="T158" s="19"/>
    </row>
    <row r="159" spans="3:20" ht="12.75">
      <c r="C159" s="19"/>
      <c r="S159" s="19"/>
      <c r="T159" s="19"/>
    </row>
    <row r="160" spans="3:20" ht="12.75">
      <c r="C160" s="19"/>
      <c r="S160" s="19"/>
      <c r="T160" s="19"/>
    </row>
    <row r="161" spans="3:20" ht="12.75">
      <c r="C161" s="19"/>
      <c r="S161" s="19"/>
      <c r="T161" s="19"/>
    </row>
    <row r="162" spans="3:20" ht="12.75">
      <c r="C162" s="19"/>
      <c r="S162" s="19"/>
      <c r="T162" s="19"/>
    </row>
    <row r="163" spans="3:20" ht="12.75">
      <c r="C163" s="19"/>
      <c r="S163" s="19"/>
      <c r="T163" s="19"/>
    </row>
    <row r="164" spans="3:20" ht="12.75">
      <c r="C164" s="19"/>
      <c r="S164" s="19"/>
      <c r="T164" s="19"/>
    </row>
    <row r="165" spans="3:20" ht="12.75">
      <c r="C165" s="19"/>
      <c r="S165" s="19"/>
      <c r="T165" s="19"/>
    </row>
    <row r="166" spans="3:20" ht="12.75">
      <c r="C166" s="19"/>
      <c r="S166" s="19"/>
      <c r="T166" s="19"/>
    </row>
    <row r="167" spans="3:20" ht="12.75">
      <c r="C167" s="19"/>
      <c r="S167" s="19"/>
      <c r="T167" s="19"/>
    </row>
    <row r="168" spans="3:20" ht="12.75">
      <c r="C168" s="19"/>
      <c r="S168" s="19"/>
      <c r="T168" s="19"/>
    </row>
    <row r="169" spans="3:20" ht="12.75">
      <c r="C169" s="19"/>
      <c r="S169" s="19"/>
      <c r="T169" s="19"/>
    </row>
    <row r="170" spans="3:20" ht="12.75">
      <c r="C170" s="19"/>
      <c r="S170" s="19"/>
      <c r="T170" s="19"/>
    </row>
    <row r="171" spans="3:20" ht="12.75">
      <c r="C171" s="19"/>
      <c r="S171" s="19"/>
      <c r="T171" s="19"/>
    </row>
    <row r="172" spans="3:20" ht="12.75">
      <c r="C172" s="19"/>
      <c r="S172" s="19"/>
      <c r="T172" s="19"/>
    </row>
    <row r="173" spans="3:20" ht="12.75">
      <c r="C173" s="19"/>
      <c r="S173" s="19"/>
      <c r="T173" s="19"/>
    </row>
    <row r="174" spans="3:20" ht="12.75">
      <c r="C174" s="19"/>
      <c r="S174" s="19"/>
      <c r="T174" s="19"/>
    </row>
    <row r="175" spans="3:20" ht="12.75">
      <c r="C175" s="19"/>
      <c r="S175" s="19"/>
      <c r="T175" s="19"/>
    </row>
    <row r="176" spans="3:20" ht="12.75">
      <c r="C176" s="19"/>
      <c r="S176" s="19"/>
      <c r="T176" s="19"/>
    </row>
    <row r="177" spans="3:20" ht="12.75">
      <c r="C177" s="19"/>
      <c r="S177" s="19"/>
      <c r="T177" s="19"/>
    </row>
    <row r="178" spans="3:20" ht="12.75">
      <c r="C178" s="19"/>
      <c r="S178" s="19"/>
      <c r="T178" s="19"/>
    </row>
    <row r="179" spans="3:20" ht="12.75">
      <c r="C179" s="19"/>
      <c r="S179" s="19"/>
      <c r="T179" s="19"/>
    </row>
    <row r="180" spans="3:20" ht="12.75">
      <c r="C180" s="19"/>
      <c r="S180" s="19"/>
      <c r="T180" s="19"/>
    </row>
    <row r="181" spans="3:20" ht="12.75">
      <c r="C181" s="19"/>
      <c r="S181" s="19"/>
      <c r="T181" s="19"/>
    </row>
    <row r="182" spans="3:20" ht="12.75">
      <c r="C182" s="19"/>
      <c r="S182" s="19"/>
      <c r="T182" s="19"/>
    </row>
    <row r="183" spans="3:20" ht="12.75">
      <c r="C183" s="19"/>
      <c r="S183" s="19"/>
      <c r="T183" s="19"/>
    </row>
    <row r="184" spans="3:20" ht="12.75">
      <c r="C184" s="19"/>
      <c r="S184" s="19"/>
      <c r="T184" s="19"/>
    </row>
    <row r="185" spans="3:20" ht="12.75">
      <c r="C185" s="19"/>
      <c r="S185" s="19"/>
      <c r="T185" s="19"/>
    </row>
    <row r="186" spans="3:20" ht="12.75">
      <c r="C186" s="19"/>
      <c r="S186" s="19"/>
      <c r="T186" s="19"/>
    </row>
    <row r="187" spans="3:20" ht="12.75">
      <c r="C187" s="19"/>
      <c r="S187" s="19"/>
      <c r="T187" s="19"/>
    </row>
    <row r="188" spans="3:20" ht="12.75">
      <c r="C188" s="19"/>
      <c r="S188" s="19"/>
      <c r="T188" s="19"/>
    </row>
    <row r="189" spans="3:20" ht="12.75">
      <c r="C189" s="19"/>
      <c r="S189" s="19"/>
      <c r="T189" s="19"/>
    </row>
    <row r="190" spans="3:20" ht="12.75">
      <c r="C190" s="19"/>
      <c r="S190" s="19"/>
      <c r="T190" s="19"/>
    </row>
    <row r="191" spans="3:20" ht="12.75">
      <c r="C191" s="19"/>
      <c r="S191" s="19"/>
      <c r="T191" s="19"/>
    </row>
    <row r="192" spans="3:20" ht="12.75">
      <c r="C192" s="19"/>
      <c r="S192" s="19"/>
      <c r="T192" s="19"/>
    </row>
    <row r="193" spans="3:20" ht="12.75">
      <c r="C193" s="19"/>
      <c r="S193" s="19"/>
      <c r="T193" s="19"/>
    </row>
    <row r="194" spans="3:20" ht="12.75">
      <c r="C194" s="19"/>
      <c r="S194" s="19"/>
      <c r="T194" s="19"/>
    </row>
    <row r="195" spans="3:20" ht="12.75">
      <c r="C195" s="19"/>
      <c r="S195" s="19"/>
      <c r="T195" s="19"/>
    </row>
    <row r="196" spans="3:20" ht="12.75">
      <c r="C196" s="19"/>
      <c r="S196" s="19"/>
      <c r="T196" s="19"/>
    </row>
    <row r="197" spans="3:20" ht="12.75">
      <c r="C197" s="19"/>
      <c r="S197" s="19"/>
      <c r="T197" s="19"/>
    </row>
    <row r="198" spans="3:20" ht="12.75">
      <c r="C198" s="19"/>
      <c r="S198" s="19"/>
      <c r="T198" s="19"/>
    </row>
    <row r="199" spans="3:20" ht="12.75">
      <c r="C199" s="19"/>
      <c r="S199" s="19"/>
      <c r="T199" s="19"/>
    </row>
    <row r="200" spans="3:20" ht="12.75">
      <c r="C200" s="19"/>
      <c r="S200" s="19"/>
      <c r="T200" s="19"/>
    </row>
    <row r="201" spans="3:20" ht="12.75">
      <c r="C201" s="19"/>
      <c r="S201" s="19"/>
      <c r="T201" s="19"/>
    </row>
    <row r="202" spans="3:20" ht="12.75">
      <c r="C202" s="19"/>
      <c r="S202" s="19"/>
      <c r="T202" s="19"/>
    </row>
    <row r="203" spans="3:20" ht="12.75">
      <c r="C203" s="19"/>
      <c r="S203" s="19"/>
      <c r="T203" s="19"/>
    </row>
    <row r="204" spans="3:20" ht="12.75">
      <c r="C204" s="19"/>
      <c r="S204" s="19"/>
      <c r="T204" s="19"/>
    </row>
    <row r="205" spans="3:20" ht="12.75">
      <c r="C205" s="19"/>
      <c r="S205" s="19"/>
      <c r="T205" s="19"/>
    </row>
    <row r="206" spans="3:20" ht="12.75">
      <c r="C206" s="19"/>
      <c r="S206" s="19"/>
      <c r="T206" s="19"/>
    </row>
    <row r="207" spans="3:20" ht="12.75">
      <c r="C207" s="19"/>
      <c r="S207" s="19"/>
      <c r="T207" s="19"/>
    </row>
    <row r="208" spans="3:20" ht="12.75">
      <c r="C208" s="19"/>
      <c r="S208" s="19"/>
      <c r="T208" s="19"/>
    </row>
    <row r="209" spans="3:20" ht="12.75">
      <c r="C209" s="19"/>
      <c r="S209" s="19"/>
      <c r="T209" s="19"/>
    </row>
    <row r="210" spans="3:20" ht="12.75">
      <c r="C210" s="19"/>
      <c r="S210" s="19"/>
      <c r="T210" s="19"/>
    </row>
    <row r="211" spans="3:20" ht="12.75">
      <c r="C211" s="19"/>
      <c r="S211" s="19"/>
      <c r="T211" s="19"/>
    </row>
    <row r="212" spans="3:20" ht="12.75">
      <c r="C212" s="19"/>
      <c r="S212" s="19"/>
      <c r="T212" s="19"/>
    </row>
    <row r="213" spans="3:20" ht="12.75">
      <c r="C213" s="19"/>
      <c r="S213" s="19"/>
      <c r="T213" s="19"/>
    </row>
    <row r="214" spans="3:20" ht="12.75">
      <c r="C214" s="19"/>
      <c r="S214" s="19"/>
      <c r="T214" s="19"/>
    </row>
    <row r="215" spans="3:20" ht="12.75">
      <c r="C215" s="19"/>
      <c r="S215" s="19"/>
      <c r="T215" s="19"/>
    </row>
    <row r="216" spans="3:20" ht="12.75">
      <c r="C216" s="19"/>
      <c r="S216" s="19"/>
      <c r="T216" s="19"/>
    </row>
    <row r="217" spans="3:20" ht="12.75">
      <c r="C217" s="19"/>
      <c r="S217" s="19"/>
      <c r="T217" s="19"/>
    </row>
    <row r="218" spans="3:20" ht="12.75">
      <c r="C218" s="19"/>
      <c r="S218" s="19"/>
      <c r="T218" s="19"/>
    </row>
    <row r="219" spans="3:20" ht="12.75">
      <c r="C219" s="19"/>
      <c r="S219" s="19"/>
      <c r="T219" s="19"/>
    </row>
    <row r="220" spans="3:20" ht="12.75">
      <c r="C220" s="19"/>
      <c r="S220" s="19"/>
      <c r="T220" s="19"/>
    </row>
    <row r="221" spans="3:20" ht="12.75">
      <c r="C221" s="19"/>
      <c r="S221" s="19"/>
      <c r="T221" s="19"/>
    </row>
    <row r="222" spans="3:20" ht="12.75">
      <c r="C222" s="19"/>
      <c r="S222" s="19"/>
      <c r="T222" s="19"/>
    </row>
    <row r="223" spans="3:20" ht="12.75">
      <c r="C223" s="19"/>
      <c r="S223" s="19"/>
      <c r="T223" s="19"/>
    </row>
    <row r="224" spans="3:20" ht="12.75">
      <c r="C224" s="19"/>
      <c r="S224" s="19"/>
      <c r="T224" s="19"/>
    </row>
    <row r="225" spans="3:20" ht="12.75">
      <c r="C225" s="19"/>
      <c r="S225" s="19"/>
      <c r="T225" s="19"/>
    </row>
    <row r="226" spans="3:20" ht="12.75">
      <c r="C226" s="19"/>
      <c r="S226" s="19"/>
      <c r="T226" s="19"/>
    </row>
    <row r="227" spans="3:20" ht="12.75">
      <c r="C227" s="19"/>
      <c r="S227" s="19"/>
      <c r="T227" s="19"/>
    </row>
    <row r="228" spans="3:20" ht="12.75">
      <c r="C228" s="19"/>
      <c r="S228" s="19"/>
      <c r="T228" s="19"/>
    </row>
    <row r="229" spans="3:20" ht="12.75">
      <c r="C229" s="19"/>
      <c r="S229" s="19"/>
      <c r="T229" s="19"/>
    </row>
    <row r="230" spans="3:20" ht="12.75">
      <c r="C230" s="19"/>
      <c r="S230" s="19"/>
      <c r="T230" s="19"/>
    </row>
    <row r="231" spans="3:20" ht="12.75">
      <c r="C231" s="19"/>
      <c r="S231" s="19"/>
      <c r="T231" s="19"/>
    </row>
    <row r="232" spans="3:20" ht="12.75">
      <c r="C232" s="19"/>
      <c r="S232" s="19"/>
      <c r="T232" s="19"/>
    </row>
    <row r="233" spans="3:20" ht="12.75">
      <c r="C233" s="19"/>
      <c r="S233" s="19"/>
      <c r="T233" s="19"/>
    </row>
    <row r="234" spans="3:20" ht="12.75">
      <c r="C234" s="19"/>
      <c r="S234" s="19"/>
      <c r="T234" s="19"/>
    </row>
    <row r="235" spans="3:20" ht="12.75">
      <c r="C235" s="19"/>
      <c r="S235" s="19"/>
      <c r="T235" s="19"/>
    </row>
    <row r="236" spans="3:20" ht="12.75">
      <c r="C236" s="19"/>
      <c r="S236" s="19"/>
      <c r="T236" s="19"/>
    </row>
    <row r="237" spans="3:20" ht="12.75">
      <c r="C237" s="19"/>
      <c r="S237" s="19"/>
      <c r="T237" s="19"/>
    </row>
    <row r="238" spans="3:20" ht="12.75">
      <c r="C238" s="19"/>
      <c r="S238" s="19"/>
      <c r="T238" s="19"/>
    </row>
    <row r="239" spans="3:20" ht="12.75">
      <c r="C239" s="19"/>
      <c r="S239" s="19"/>
      <c r="T239" s="19"/>
    </row>
    <row r="240" spans="3:20" ht="12.75">
      <c r="C240" s="19"/>
      <c r="S240" s="19"/>
      <c r="T240" s="19"/>
    </row>
    <row r="241" spans="3:20" ht="12.75">
      <c r="C241" s="19"/>
      <c r="S241" s="19"/>
      <c r="T241" s="19"/>
    </row>
    <row r="242" spans="3:20" ht="12.75">
      <c r="C242" s="19"/>
      <c r="S242" s="19"/>
      <c r="T242" s="19"/>
    </row>
    <row r="243" spans="3:20" ht="12.75">
      <c r="C243" s="19"/>
      <c r="S243" s="19"/>
      <c r="T243" s="19"/>
    </row>
    <row r="244" spans="3:20" ht="12.75">
      <c r="C244" s="19"/>
      <c r="S244" s="19"/>
      <c r="T244" s="19"/>
    </row>
    <row r="245" spans="3:20" ht="12.75">
      <c r="C245" s="19"/>
      <c r="S245" s="19"/>
      <c r="T245" s="19"/>
    </row>
    <row r="246" spans="3:20" ht="12.75">
      <c r="C246" s="19"/>
      <c r="S246" s="19"/>
      <c r="T246" s="19"/>
    </row>
    <row r="247" spans="3:20" ht="12.75">
      <c r="C247" s="19"/>
      <c r="S247" s="19"/>
      <c r="T247" s="19"/>
    </row>
    <row r="248" spans="3:20" ht="12.75">
      <c r="C248" s="19"/>
      <c r="S248" s="19"/>
      <c r="T248" s="19"/>
    </row>
    <row r="249" spans="3:20" ht="12.75">
      <c r="C249" s="19"/>
      <c r="S249" s="19"/>
      <c r="T249" s="19"/>
    </row>
    <row r="250" spans="3:20" ht="12.75">
      <c r="C250" s="19"/>
      <c r="S250" s="19"/>
      <c r="T250" s="19"/>
    </row>
    <row r="251" spans="3:20" ht="12.75">
      <c r="C251" s="19"/>
      <c r="S251" s="19"/>
      <c r="T251" s="19"/>
    </row>
    <row r="252" spans="3:20" ht="12.75">
      <c r="C252" s="19"/>
      <c r="S252" s="19"/>
      <c r="T252" s="19"/>
    </row>
    <row r="253" spans="3:20" ht="12.75">
      <c r="C253" s="19"/>
      <c r="S253" s="19"/>
      <c r="T253" s="19"/>
    </row>
    <row r="254" spans="3:20" ht="12.75">
      <c r="C254" s="19"/>
      <c r="S254" s="19"/>
      <c r="T254" s="19"/>
    </row>
    <row r="255" spans="3:20" ht="12.75">
      <c r="C255" s="19"/>
      <c r="S255" s="19"/>
      <c r="T255" s="19"/>
    </row>
    <row r="256" spans="3:20" ht="12.75">
      <c r="C256" s="19"/>
      <c r="S256" s="19"/>
      <c r="T256" s="19"/>
    </row>
    <row r="257" spans="3:20" ht="12.75">
      <c r="C257" s="19"/>
      <c r="S257" s="19"/>
      <c r="T257" s="19"/>
    </row>
    <row r="258" spans="3:20" ht="12.75">
      <c r="C258" s="19"/>
      <c r="S258" s="19"/>
      <c r="T258" s="19"/>
    </row>
    <row r="259" spans="3:20" ht="12.75">
      <c r="C259" s="19"/>
      <c r="S259" s="19"/>
      <c r="T259" s="19"/>
    </row>
    <row r="260" spans="3:20" ht="12.75">
      <c r="C260" s="19"/>
      <c r="S260" s="19"/>
      <c r="T260" s="19"/>
    </row>
    <row r="261" spans="3:20" ht="12.75">
      <c r="C261" s="19"/>
      <c r="S261" s="19"/>
      <c r="T261" s="19"/>
    </row>
    <row r="262" spans="3:20" ht="12.75">
      <c r="C262" s="19"/>
      <c r="S262" s="19"/>
      <c r="T262" s="19"/>
    </row>
    <row r="263" spans="3:20" ht="12.75">
      <c r="C263" s="19"/>
      <c r="S263" s="19"/>
      <c r="T263" s="19"/>
    </row>
    <row r="264" spans="3:20" ht="12.75">
      <c r="C264" s="19"/>
      <c r="S264" s="19"/>
      <c r="T264" s="19"/>
    </row>
    <row r="265" spans="3:20" ht="12.75">
      <c r="C265" s="19"/>
      <c r="S265" s="19"/>
      <c r="T265" s="19"/>
    </row>
    <row r="266" spans="3:20" ht="12.75">
      <c r="C266" s="19"/>
      <c r="S266" s="19"/>
      <c r="T266" s="19"/>
    </row>
    <row r="267" spans="3:20" ht="12.75">
      <c r="C267" s="19"/>
      <c r="S267" s="19"/>
      <c r="T267" s="19"/>
    </row>
    <row r="268" spans="3:20" ht="12.75">
      <c r="C268" s="19"/>
      <c r="S268" s="19"/>
      <c r="T268" s="19"/>
    </row>
    <row r="269" ht="12.75">
      <c r="C269" s="19"/>
    </row>
    <row r="270" ht="12.75">
      <c r="C270" s="19"/>
    </row>
    <row r="271" ht="12.75">
      <c r="C271" s="19"/>
    </row>
    <row r="272" ht="12.75">
      <c r="C272" s="19"/>
    </row>
    <row r="273" ht="12.75">
      <c r="C273" s="19"/>
    </row>
    <row r="274" ht="12.75">
      <c r="C274" s="19"/>
    </row>
    <row r="275" ht="12.75">
      <c r="C275" s="19"/>
    </row>
    <row r="276" ht="12.75">
      <c r="C276" s="19"/>
    </row>
    <row r="277" ht="12.75">
      <c r="C277" s="19"/>
    </row>
    <row r="278" ht="12.75">
      <c r="C278" s="19"/>
    </row>
    <row r="279" ht="12.75">
      <c r="C279" s="19"/>
    </row>
    <row r="280" ht="12.75">
      <c r="C280" s="19"/>
    </row>
    <row r="281" ht="12.75">
      <c r="C281" s="19"/>
    </row>
    <row r="282" ht="12.75">
      <c r="C282" s="19"/>
    </row>
    <row r="283" ht="12.75">
      <c r="C283" s="19"/>
    </row>
    <row r="284" ht="12.75">
      <c r="C284" s="19"/>
    </row>
    <row r="285" ht="12.75">
      <c r="C285" s="19"/>
    </row>
    <row r="286" ht="12.75">
      <c r="C286" s="19"/>
    </row>
    <row r="287" ht="12.75">
      <c r="C287" s="19"/>
    </row>
    <row r="288" ht="12.75">
      <c r="C288" s="19"/>
    </row>
    <row r="289" ht="12.75">
      <c r="C289" s="19"/>
    </row>
    <row r="290" ht="12.75">
      <c r="C290" s="19"/>
    </row>
    <row r="291" ht="12.75">
      <c r="C291" s="19"/>
    </row>
    <row r="292" ht="12.75">
      <c r="C292" s="19"/>
    </row>
    <row r="293" ht="12.75">
      <c r="C293" s="19"/>
    </row>
    <row r="294" ht="12.75">
      <c r="C294" s="19"/>
    </row>
    <row r="295" ht="12.75">
      <c r="C295" s="19"/>
    </row>
    <row r="296" ht="12.75">
      <c r="C296" s="19"/>
    </row>
    <row r="297" ht="12.75">
      <c r="C297" s="19"/>
    </row>
    <row r="298" ht="12.75">
      <c r="C298" s="19"/>
    </row>
    <row r="299" ht="12.75">
      <c r="C299" s="19"/>
    </row>
    <row r="300" ht="12.75">
      <c r="C300" s="19"/>
    </row>
    <row r="301" ht="12.75">
      <c r="C301" s="19"/>
    </row>
    <row r="302" ht="12.75">
      <c r="C302" s="19"/>
    </row>
    <row r="303" ht="12.75">
      <c r="C303" s="19"/>
    </row>
    <row r="304" ht="12.75">
      <c r="C304" s="19"/>
    </row>
    <row r="305" ht="12.75">
      <c r="C305" s="19"/>
    </row>
    <row r="306" ht="12.75">
      <c r="C306" s="19"/>
    </row>
    <row r="307" ht="12.75">
      <c r="C307" s="19"/>
    </row>
    <row r="308" ht="12.75">
      <c r="C308" s="19"/>
    </row>
  </sheetData>
  <mergeCells count="13">
    <mergeCell ref="P2:P3"/>
    <mergeCell ref="G2:G3"/>
    <mergeCell ref="H2:H3"/>
    <mergeCell ref="R2:R3"/>
    <mergeCell ref="O2:O3"/>
    <mergeCell ref="A2:A3"/>
    <mergeCell ref="B2:B3"/>
    <mergeCell ref="D2:D3"/>
    <mergeCell ref="E2:E3"/>
    <mergeCell ref="F2:F3"/>
    <mergeCell ref="L2:L3"/>
    <mergeCell ref="M2:M3"/>
    <mergeCell ref="N2:N3"/>
  </mergeCells>
  <printOptions/>
  <pageMargins left="0.75" right="0.75" top="1" bottom="1" header="0.5" footer="0.5"/>
  <pageSetup horizontalDpi="600" verticalDpi="600" orientation="landscape" scale="35" r:id="rId1"/>
  <headerFooter alignWithMargins="0">
    <oddHeader>&amp;CReasonable Potential Analysis
U.S. Navy-Naval Support Activity
Treasure Island
</oddHeader>
    <oddFooter>&amp;L&amp;F
&amp;D&amp;C&amp;P of &amp;N&amp;R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6" sqref="D26"/>
    </sheetView>
  </sheetViews>
  <sheetFormatPr defaultColWidth="9.140625" defaultRowHeight="12.75"/>
  <cols>
    <col min="1" max="1" width="34.140625" style="0" customWidth="1"/>
    <col min="2" max="2" width="9.57421875" style="0" customWidth="1"/>
    <col min="4" max="4" width="9.28125" style="0" customWidth="1"/>
    <col min="5" max="5" width="10.7109375" style="0" customWidth="1"/>
    <col min="6" max="8" width="10.57421875" style="0" customWidth="1"/>
    <col min="9" max="9" width="9.00390625" style="19" customWidth="1"/>
    <col min="10" max="10" width="9.00390625" style="0" customWidth="1"/>
    <col min="11" max="11" width="12.421875" style="0" hidden="1" customWidth="1"/>
  </cols>
  <sheetData>
    <row r="1" ht="12.75">
      <c r="A1" s="50" t="s">
        <v>190</v>
      </c>
    </row>
    <row r="2" ht="12.75"/>
    <row r="3" spans="1:11" ht="13.5" thickBot="1">
      <c r="A3" s="248" t="s">
        <v>149</v>
      </c>
      <c r="B3" s="374" t="s">
        <v>237</v>
      </c>
      <c r="C3" s="374" t="s">
        <v>203</v>
      </c>
      <c r="D3" s="374" t="s">
        <v>204</v>
      </c>
      <c r="E3" s="374" t="s">
        <v>207</v>
      </c>
      <c r="F3" s="374" t="s">
        <v>208</v>
      </c>
      <c r="G3" s="434" t="s">
        <v>209</v>
      </c>
      <c r="H3" s="434" t="s">
        <v>571</v>
      </c>
      <c r="I3" s="272" t="s">
        <v>275</v>
      </c>
      <c r="J3" s="375" t="s">
        <v>224</v>
      </c>
      <c r="K3" s="108" t="s">
        <v>273</v>
      </c>
    </row>
    <row r="4" spans="1:11" ht="34.5" thickTop="1">
      <c r="A4" s="30" t="s">
        <v>151</v>
      </c>
      <c r="B4" s="249" t="s">
        <v>278</v>
      </c>
      <c r="C4" s="249" t="s">
        <v>279</v>
      </c>
      <c r="D4" s="249" t="s">
        <v>280</v>
      </c>
      <c r="E4" s="249" t="s">
        <v>282</v>
      </c>
      <c r="F4" s="249" t="s">
        <v>281</v>
      </c>
      <c r="G4" s="249" t="s">
        <v>557</v>
      </c>
      <c r="H4" s="249" t="s">
        <v>573</v>
      </c>
      <c r="I4" s="370" t="s">
        <v>572</v>
      </c>
      <c r="J4" s="371" t="s">
        <v>572</v>
      </c>
      <c r="K4" s="249" t="s">
        <v>238</v>
      </c>
    </row>
    <row r="5" spans="1:11" ht="12.75">
      <c r="A5" s="31" t="s">
        <v>152</v>
      </c>
      <c r="B5" s="37">
        <v>3.73</v>
      </c>
      <c r="C5" s="37">
        <v>5.6</v>
      </c>
      <c r="D5" s="109">
        <v>0.025</v>
      </c>
      <c r="E5" s="250">
        <v>2.3</v>
      </c>
      <c r="F5" s="250">
        <v>58</v>
      </c>
      <c r="G5" s="250">
        <v>1</v>
      </c>
      <c r="H5" s="109">
        <v>0.014</v>
      </c>
      <c r="I5" s="365">
        <v>0.00059</v>
      </c>
      <c r="J5" s="110">
        <v>0.00014</v>
      </c>
      <c r="K5" s="227">
        <v>1.4E-08</v>
      </c>
    </row>
    <row r="6" spans="1:11" ht="12.75">
      <c r="A6" s="31" t="s">
        <v>153</v>
      </c>
      <c r="B6" s="32"/>
      <c r="C6" s="32"/>
      <c r="D6" s="32"/>
      <c r="E6" s="32"/>
      <c r="F6" s="32"/>
      <c r="G6" s="32"/>
      <c r="H6" s="32"/>
      <c r="I6" s="366"/>
      <c r="J6" s="32"/>
      <c r="K6" s="32"/>
    </row>
    <row r="7" spans="1:11" ht="12.75">
      <c r="A7" s="31" t="s">
        <v>154</v>
      </c>
      <c r="B7" s="34">
        <v>9</v>
      </c>
      <c r="C7" s="34">
        <v>9</v>
      </c>
      <c r="D7" s="34">
        <v>0</v>
      </c>
      <c r="E7" s="34">
        <v>9</v>
      </c>
      <c r="F7" s="34">
        <v>9</v>
      </c>
      <c r="G7" s="34">
        <v>9</v>
      </c>
      <c r="H7" s="34">
        <v>0</v>
      </c>
      <c r="I7" s="367">
        <v>0</v>
      </c>
      <c r="J7" s="34">
        <v>0</v>
      </c>
      <c r="K7" s="34">
        <v>9</v>
      </c>
    </row>
    <row r="8" spans="1:11" ht="12.75">
      <c r="A8" s="31" t="s">
        <v>155</v>
      </c>
      <c r="B8" s="34">
        <v>4</v>
      </c>
      <c r="C8" s="34">
        <v>4</v>
      </c>
      <c r="D8" s="34">
        <v>4</v>
      </c>
      <c r="E8" s="34">
        <v>4</v>
      </c>
      <c r="F8" s="34">
        <v>4</v>
      </c>
      <c r="G8" s="34">
        <v>4</v>
      </c>
      <c r="H8" s="34">
        <v>4</v>
      </c>
      <c r="I8" s="367">
        <v>4</v>
      </c>
      <c r="J8" s="34">
        <v>4</v>
      </c>
      <c r="K8" s="34">
        <v>4</v>
      </c>
    </row>
    <row r="9" spans="1:11" ht="12.75">
      <c r="A9" s="228" t="s">
        <v>274</v>
      </c>
      <c r="B9" s="34" t="s">
        <v>21</v>
      </c>
      <c r="C9" s="34" t="s">
        <v>21</v>
      </c>
      <c r="D9" s="34" t="s">
        <v>21</v>
      </c>
      <c r="E9" s="34" t="s">
        <v>21</v>
      </c>
      <c r="F9" s="34" t="s">
        <v>21</v>
      </c>
      <c r="G9" s="34" t="s">
        <v>21</v>
      </c>
      <c r="H9" s="34" t="s">
        <v>22</v>
      </c>
      <c r="I9" s="367" t="s">
        <v>22</v>
      </c>
      <c r="J9" s="34" t="s">
        <v>22</v>
      </c>
      <c r="K9" s="34" t="s">
        <v>22</v>
      </c>
    </row>
    <row r="10" spans="1:11" ht="12.75">
      <c r="A10" s="150" t="s">
        <v>156</v>
      </c>
      <c r="B10" s="34" t="s">
        <v>22</v>
      </c>
      <c r="C10" s="34" t="s">
        <v>22</v>
      </c>
      <c r="D10" s="34" t="s">
        <v>21</v>
      </c>
      <c r="E10" s="34" t="s">
        <v>22</v>
      </c>
      <c r="F10" s="34" t="s">
        <v>22</v>
      </c>
      <c r="G10" s="34" t="s">
        <v>21</v>
      </c>
      <c r="H10" s="34" t="s">
        <v>21</v>
      </c>
      <c r="I10" s="367" t="s">
        <v>21</v>
      </c>
      <c r="J10" s="34" t="s">
        <v>21</v>
      </c>
      <c r="K10" s="34" t="s">
        <v>21</v>
      </c>
    </row>
    <row r="11" spans="1:11" ht="12.75">
      <c r="A11" s="31"/>
      <c r="B11" s="34"/>
      <c r="C11" s="34"/>
      <c r="D11" s="34"/>
      <c r="E11" s="34"/>
      <c r="F11" s="34"/>
      <c r="G11" s="34"/>
      <c r="H11" s="34"/>
      <c r="I11" s="367"/>
      <c r="J11" s="34"/>
      <c r="K11" s="34"/>
    </row>
    <row r="12" spans="1:11" ht="12.75">
      <c r="A12" s="228" t="s">
        <v>157</v>
      </c>
      <c r="B12" s="75">
        <v>5.78</v>
      </c>
      <c r="C12" s="179">
        <v>140</v>
      </c>
      <c r="D12" s="75">
        <v>2.1</v>
      </c>
      <c r="E12" s="75">
        <v>2.3</v>
      </c>
      <c r="F12" s="179">
        <v>170</v>
      </c>
      <c r="G12" s="179">
        <v>1</v>
      </c>
      <c r="H12" s="109"/>
      <c r="I12" s="365"/>
      <c r="J12" s="110"/>
      <c r="K12" s="110"/>
    </row>
    <row r="13" spans="1:11" ht="12.75">
      <c r="A13" s="228" t="s">
        <v>158</v>
      </c>
      <c r="B13" s="75">
        <v>3.73</v>
      </c>
      <c r="C13" s="75">
        <v>5.6</v>
      </c>
      <c r="D13" s="75">
        <v>0.025</v>
      </c>
      <c r="E13" s="75"/>
      <c r="F13" s="179">
        <v>58</v>
      </c>
      <c r="G13" s="179">
        <v>1</v>
      </c>
      <c r="H13" s="179"/>
      <c r="I13" s="365"/>
      <c r="J13" s="110"/>
      <c r="K13" s="110"/>
    </row>
    <row r="14" spans="1:11" ht="12.75">
      <c r="A14" s="150" t="s">
        <v>159</v>
      </c>
      <c r="B14" s="34"/>
      <c r="C14" s="34"/>
      <c r="D14" s="34">
        <v>0.051</v>
      </c>
      <c r="E14" s="251"/>
      <c r="F14" s="251"/>
      <c r="G14" s="251">
        <v>220000</v>
      </c>
      <c r="H14" s="109">
        <v>0.014</v>
      </c>
      <c r="I14" s="365">
        <v>0.00059</v>
      </c>
      <c r="J14" s="110">
        <v>0.00014</v>
      </c>
      <c r="K14" s="227">
        <v>1.4E-08</v>
      </c>
    </row>
    <row r="15" spans="1:11" ht="12.75">
      <c r="A15" s="228" t="s">
        <v>283</v>
      </c>
      <c r="B15" s="34">
        <v>2.45</v>
      </c>
      <c r="C15" s="34">
        <v>0.8</v>
      </c>
      <c r="D15" s="34">
        <v>0.0086</v>
      </c>
      <c r="E15" s="34">
        <v>0.0516</v>
      </c>
      <c r="F15" s="34">
        <v>4.4</v>
      </c>
      <c r="G15" s="34">
        <v>0.4</v>
      </c>
      <c r="H15" s="34">
        <v>0.071</v>
      </c>
      <c r="I15" s="367"/>
      <c r="J15" s="34"/>
      <c r="K15" s="34"/>
    </row>
    <row r="16" spans="1:11" ht="12.75">
      <c r="A16" s="150" t="s">
        <v>160</v>
      </c>
      <c r="B16" s="34"/>
      <c r="C16" s="34"/>
      <c r="D16" s="252">
        <v>0.003679</v>
      </c>
      <c r="E16" s="37"/>
      <c r="F16" s="37"/>
      <c r="G16" s="250">
        <v>0.4</v>
      </c>
      <c r="H16" s="110">
        <v>0.03165</v>
      </c>
      <c r="I16" s="368">
        <v>0.000114711111111111</v>
      </c>
      <c r="J16" s="384">
        <v>7.64176470588235E-05</v>
      </c>
      <c r="K16" s="227">
        <v>3.2E-08</v>
      </c>
    </row>
    <row r="17" spans="1:11" ht="12.75">
      <c r="A17" s="31" t="s">
        <v>161</v>
      </c>
      <c r="B17" s="34" t="s">
        <v>22</v>
      </c>
      <c r="C17" s="34" t="s">
        <v>22</v>
      </c>
      <c r="D17" s="34" t="s">
        <v>21</v>
      </c>
      <c r="E17" s="34" t="s">
        <v>22</v>
      </c>
      <c r="F17" s="34" t="s">
        <v>22</v>
      </c>
      <c r="G17" s="34" t="s">
        <v>22</v>
      </c>
      <c r="H17" s="34" t="s">
        <v>21</v>
      </c>
      <c r="I17" s="367" t="s">
        <v>21</v>
      </c>
      <c r="J17" s="34" t="s">
        <v>21</v>
      </c>
      <c r="K17" s="34" t="s">
        <v>21</v>
      </c>
    </row>
    <row r="18" spans="1:11" ht="12.75">
      <c r="A18" s="31"/>
      <c r="B18" s="34"/>
      <c r="C18" s="34"/>
      <c r="D18" s="34"/>
      <c r="E18" s="34"/>
      <c r="F18" s="34"/>
      <c r="G18" s="34"/>
      <c r="H18" s="34"/>
      <c r="I18" s="367"/>
      <c r="J18" s="34"/>
      <c r="K18" s="34"/>
    </row>
    <row r="19" spans="1:11" ht="12.75">
      <c r="A19" s="228" t="s">
        <v>162</v>
      </c>
      <c r="B19" s="286">
        <f aca="true" t="shared" si="0" ref="B19:K19">IF(B9="Y",IF(B12="","No Acute WQO",IF(B15="",B12,IF(B12&lt;=B15,B12,IF(B17="Y",B12,IF(B17="N",IF(B7="",B12,B12+B7*(B12-B15)),"Enter Y/N for bioaccumulative"))))),IF(B9="N","","Enter Y/N for 'Aq life criteria reqd?'"))</f>
        <v>35.75</v>
      </c>
      <c r="C19" s="286">
        <f t="shared" si="0"/>
        <v>1392.8</v>
      </c>
      <c r="D19" s="286">
        <f t="shared" si="0"/>
        <v>2.1</v>
      </c>
      <c r="E19" s="286">
        <f t="shared" si="0"/>
        <v>22.5356</v>
      </c>
      <c r="F19" s="286">
        <f>IF(F9="Y",IF(F12="","No Acute WQO",IF(F15="",F12,IF(F12&lt;=F15,F12,IF(F17="Y",F12,IF(F17="N",IF(F7="",F12,F12+F7*(F12-F15)),"Enter Y/N for bioaccumulative"))))),IF(F9="N","","Enter Y/N for 'Aq life criteria reqd?'"))</f>
        <v>1660.3999999999999</v>
      </c>
      <c r="G19" s="286">
        <f>IF(G9="Y",IF(G12="","No Acute WQO",IF(G15="",G12,IF(G12&lt;=G15,G12,IF(G17="Y",G12,IF(G17="N",IF(G7="",G12,G12+G7*(G12-G15)),"Enter Y/N for bioaccumulative"))))),IF(G9="N","","Enter Y/N for 'Aq life criteria reqd?'"))</f>
        <v>6.3999999999999995</v>
      </c>
      <c r="H19" s="286">
        <f>IF(H9="Y",IF(H12="","No Acute WQO",IF(H15="",H12,IF(H12&lt;=H15,H12,IF(H17="Y",H12,IF(H17="N",IF(H7="",H12,H12+H7*(H12-H15)),"Enter Y/N for bioaccumulative"))))),IF(H9="N","","Enter Y/N for 'Aq life criteria reqd?'"))</f>
      </c>
      <c r="I19" s="283">
        <f t="shared" si="0"/>
      </c>
      <c r="J19" s="286">
        <f t="shared" si="0"/>
      </c>
      <c r="K19" s="33">
        <f t="shared" si="0"/>
      </c>
    </row>
    <row r="20" spans="1:11" ht="22.5">
      <c r="A20" s="228" t="s">
        <v>163</v>
      </c>
      <c r="B20" s="286">
        <f aca="true" t="shared" si="1" ref="B20:K20">IF(B9="Y",IF(B13="","No Chronic WQO",IF(B15="",B13,IF(B13&lt;=B15,B13,IF(B17="Y",B13,IF(B17="N",IF(B7="",B13,B13+B7*(B13-B15)),"Enter Y/N for bioaccumulative"))))),IF(B9="N","","Enter Y/N for 'Aq life criteria reqd?'"))</f>
        <v>15.249999999999998</v>
      </c>
      <c r="C20" s="286">
        <f t="shared" si="1"/>
        <v>48.8</v>
      </c>
      <c r="D20" s="286">
        <f t="shared" si="1"/>
        <v>0.025</v>
      </c>
      <c r="E20" s="381" t="str">
        <f t="shared" si="1"/>
        <v>No Chronic WQO</v>
      </c>
      <c r="F20" s="286">
        <f>IF(F9="Y",IF(F13="","No Chronic WQO",IF(F15="",F13,IF(F13&lt;=F15,F13,IF(F17="Y",F13,IF(F17="N",IF(F7="",F13,F13+F7*(F13-F15)),"Enter Y/N for bioaccumulative"))))),IF(F9="N","","Enter Y/N for 'Aq life criteria reqd?'"))</f>
        <v>540.4000000000001</v>
      </c>
      <c r="G20" s="286">
        <f>IF(G9="Y",IF(G13="","No Chronic WQO",IF(G15="",G13,IF(G13&lt;=G15,G13,IF(G17="Y",G13,IF(G17="N",IF(G7="",G13,G13+G7*(G13-G15)),"Enter Y/N for bioaccumulative"))))),IF(G9="N","","Enter Y/N for 'Aq life criteria reqd?'"))</f>
        <v>6.3999999999999995</v>
      </c>
      <c r="H20" s="286">
        <f>IF(H9="Y",IF(H13="","No Chronic WQO",IF(H15="",H13,IF(H13&lt;=H15,H13,IF(H17="Y",H13,IF(H17="N",IF(H7="",H13,H13+H7*(H13-H15)),"Enter Y/N for bioaccumulative"))))),IF(H9="N","","Enter Y/N for 'Aq life criteria reqd?'"))</f>
      </c>
      <c r="I20" s="283">
        <f t="shared" si="1"/>
      </c>
      <c r="J20" s="286">
        <f t="shared" si="1"/>
      </c>
      <c r="K20" s="33">
        <f t="shared" si="1"/>
      </c>
    </row>
    <row r="21" spans="1:11" ht="12.75">
      <c r="A21" s="150" t="s">
        <v>164</v>
      </c>
      <c r="B21" s="286">
        <f aca="true" t="shared" si="2" ref="B21:K21">IF(B10="Y",IF(B14="","Enter HH criteria",IF(B16="",B14,IF(B14&lt;=B16,B14,IF(B17="Y",B14,IF(B17="N",IF(B7="",B14,B14+B7*(B14-B16)),"Enter Y/N for bioaccumulative"))))),IF(B10="N","","Enter Y/N for 'HH criteria reqd?'"))</f>
      </c>
      <c r="C21" s="286">
        <f t="shared" si="2"/>
      </c>
      <c r="D21" s="286">
        <f t="shared" si="2"/>
        <v>0.051</v>
      </c>
      <c r="E21" s="283">
        <f t="shared" si="2"/>
      </c>
      <c r="F21" s="283">
        <f t="shared" si="2"/>
      </c>
      <c r="G21" s="283">
        <f t="shared" si="2"/>
        <v>2199996.4000000004</v>
      </c>
      <c r="H21" s="283">
        <f>IF(H10="Y",IF(H14="","Enter HH criteria",IF(H16="",H14,IF(H14&lt;=H16,H14,IF(H17="Y",H14,IF(H17="N",IF(H7="",H14,H14+H7*(H14-H16)),"Enter Y/N for bioaccumulative"))))),IF(H10="N","","Enter Y/N for 'HH criteria reqd?'"))</f>
        <v>0.014</v>
      </c>
      <c r="I21" s="283">
        <f t="shared" si="2"/>
        <v>0.00059</v>
      </c>
      <c r="J21" s="286">
        <f t="shared" si="2"/>
        <v>0.00014</v>
      </c>
      <c r="K21" s="33">
        <f t="shared" si="2"/>
        <v>1.4E-08</v>
      </c>
    </row>
    <row r="22" spans="1:11" ht="12.75">
      <c r="A22" s="31"/>
      <c r="B22" s="34"/>
      <c r="C22" s="34"/>
      <c r="D22" s="34"/>
      <c r="E22" s="34"/>
      <c r="F22" s="34"/>
      <c r="G22" s="34"/>
      <c r="H22" s="34"/>
      <c r="I22" s="367"/>
      <c r="J22" s="34"/>
      <c r="K22" s="34"/>
    </row>
    <row r="23" spans="1:11" ht="22.5">
      <c r="A23" s="35" t="s">
        <v>284</v>
      </c>
      <c r="B23" s="37" t="s">
        <v>22</v>
      </c>
      <c r="C23" s="37" t="s">
        <v>22</v>
      </c>
      <c r="D23" s="37" t="s">
        <v>22</v>
      </c>
      <c r="E23" s="37" t="s">
        <v>22</v>
      </c>
      <c r="F23" s="37" t="s">
        <v>22</v>
      </c>
      <c r="G23" s="37" t="s">
        <v>21</v>
      </c>
      <c r="H23" s="37" t="s">
        <v>21</v>
      </c>
      <c r="I23" s="369" t="s">
        <v>21</v>
      </c>
      <c r="J23" s="37" t="s">
        <v>21</v>
      </c>
      <c r="K23" s="37" t="s">
        <v>21</v>
      </c>
    </row>
    <row r="24" spans="1:11" ht="12.75">
      <c r="A24" s="31" t="s">
        <v>165</v>
      </c>
      <c r="B24" s="109">
        <v>11.871638461538465</v>
      </c>
      <c r="C24" s="252">
        <v>3.0689684210526322</v>
      </c>
      <c r="D24" s="253">
        <v>0.020122285714285714</v>
      </c>
      <c r="E24" s="37">
        <v>0.2438461538461538</v>
      </c>
      <c r="F24" s="109">
        <v>30.441041025641024</v>
      </c>
      <c r="G24" s="109"/>
      <c r="H24" s="109"/>
      <c r="I24" s="369"/>
      <c r="J24" s="37"/>
      <c r="K24" s="37"/>
    </row>
    <row r="25" spans="1:11" ht="12.75">
      <c r="A25" s="31" t="s">
        <v>166</v>
      </c>
      <c r="B25" s="37">
        <v>3.4068199255406313</v>
      </c>
      <c r="C25" s="252">
        <v>2.9392254558977684</v>
      </c>
      <c r="D25" s="253">
        <v>0.010212511094590926</v>
      </c>
      <c r="E25" s="37">
        <v>0.48238126646338364</v>
      </c>
      <c r="F25" s="109">
        <v>9.456182634594132</v>
      </c>
      <c r="G25" s="109"/>
      <c r="H25" s="109"/>
      <c r="I25" s="369"/>
      <c r="J25" s="37"/>
      <c r="K25" s="37"/>
    </row>
    <row r="26" spans="1:11" ht="12.75">
      <c r="A26" s="31" t="s">
        <v>167</v>
      </c>
      <c r="B26" s="279">
        <f aca="true" t="shared" si="3" ref="B26:K26">IF(B23="N",IF(B24="","Enter avg of data points",IF(B25="","Enter SD",B25/B24)),IF(B23="Y","N/A","Enter Y/N in Row 23"))</f>
        <v>0.2869713339551225</v>
      </c>
      <c r="C26" s="279">
        <f t="shared" si="3"/>
        <v>0.957724242365986</v>
      </c>
      <c r="D26" s="279">
        <f t="shared" si="3"/>
        <v>0.5075224176615585</v>
      </c>
      <c r="E26" s="279">
        <f t="shared" si="3"/>
        <v>1.9782197047394285</v>
      </c>
      <c r="F26" s="279">
        <f t="shared" si="3"/>
        <v>0.3106392658066136</v>
      </c>
      <c r="G26" s="279" t="str">
        <f t="shared" si="3"/>
        <v>N/A</v>
      </c>
      <c r="H26" s="279" t="str">
        <f t="shared" si="3"/>
        <v>N/A</v>
      </c>
      <c r="I26" s="282" t="str">
        <f t="shared" si="3"/>
        <v>N/A</v>
      </c>
      <c r="J26" s="280" t="str">
        <f t="shared" si="3"/>
        <v>N/A</v>
      </c>
      <c r="K26" s="36" t="str">
        <f t="shared" si="3"/>
        <v>N/A</v>
      </c>
    </row>
    <row r="27" spans="1:11" ht="12.75">
      <c r="A27" s="31" t="s">
        <v>168</v>
      </c>
      <c r="B27" s="281">
        <f aca="true" t="shared" si="4" ref="B27:K27">IF(B23="Y",0.6,B26)</f>
        <v>0.2869713339551225</v>
      </c>
      <c r="C27" s="281">
        <f t="shared" si="4"/>
        <v>0.957724242365986</v>
      </c>
      <c r="D27" s="281">
        <f t="shared" si="4"/>
        <v>0.5075224176615585</v>
      </c>
      <c r="E27" s="281">
        <f t="shared" si="4"/>
        <v>1.9782197047394285</v>
      </c>
      <c r="F27" s="281">
        <f t="shared" si="4"/>
        <v>0.3106392658066136</v>
      </c>
      <c r="G27" s="281">
        <f t="shared" si="4"/>
        <v>0.6</v>
      </c>
      <c r="H27" s="281">
        <f t="shared" si="4"/>
        <v>0.6</v>
      </c>
      <c r="I27" s="282">
        <f t="shared" si="4"/>
        <v>0.6</v>
      </c>
      <c r="J27" s="282">
        <f t="shared" si="4"/>
        <v>0.6</v>
      </c>
      <c r="K27" s="111">
        <f t="shared" si="4"/>
        <v>0.6</v>
      </c>
    </row>
    <row r="28" spans="1:11" ht="12.75">
      <c r="A28" s="31"/>
      <c r="B28" s="283"/>
      <c r="C28" s="283"/>
      <c r="D28" s="283"/>
      <c r="E28" s="283"/>
      <c r="F28" s="283"/>
      <c r="G28" s="283"/>
      <c r="H28" s="283"/>
      <c r="I28" s="38"/>
      <c r="J28" s="283"/>
      <c r="K28" s="38"/>
    </row>
    <row r="29" spans="1:11" ht="12.75">
      <c r="A29" s="39" t="s">
        <v>169</v>
      </c>
      <c r="B29" s="280">
        <f aca="true" t="shared" si="5" ref="B29:K29">IF(B9="Y",IF(ISTEXT(B27),"",EXP(0.5*LN((B27^2)+1)-2.326*(LN((B27^2)+1))^0.5)),"")</f>
        <v>0.5407677654118365</v>
      </c>
      <c r="C29" s="280">
        <f t="shared" si="5"/>
        <v>0.21201159608699557</v>
      </c>
      <c r="D29" s="280">
        <f t="shared" si="5"/>
        <v>0.3682672371430258</v>
      </c>
      <c r="E29" s="280">
        <f t="shared" si="5"/>
        <v>0.1177960931340064</v>
      </c>
      <c r="F29" s="280">
        <f>IF(F9="Y",IF(ISTEXT(F27),"",EXP(0.5*LN((F27^2)+1)-2.326*(LN((F27^2)+1))^0.5)),"")</f>
        <v>0.5168969279229573</v>
      </c>
      <c r="G29" s="280">
        <f>IF(G9="Y",IF(ISTEXT(G27),"",EXP(0.5*LN((G27^2)+1)-2.326*(LN((G27^2)+1))^0.5)),"")</f>
        <v>0.32108321379047927</v>
      </c>
      <c r="H29" s="280">
        <f>IF(H9="Y",IF(ISTEXT(H27),"",EXP(0.5*LN((H27^2)+1)-2.326*(LN((H27^2)+1))^0.5)),"")</f>
      </c>
      <c r="I29" s="111">
        <f t="shared" si="5"/>
      </c>
      <c r="J29" s="280">
        <f t="shared" si="5"/>
      </c>
      <c r="K29" s="36">
        <f t="shared" si="5"/>
      </c>
    </row>
    <row r="30" spans="1:11" ht="12.75">
      <c r="A30" s="39" t="s">
        <v>170</v>
      </c>
      <c r="B30" s="280">
        <f aca="true" t="shared" si="6" ref="B30:K30">IF(B9="Y",IF(ISTEXT(B27),"",EXP(0.5*LN(((B27^2)/4)+1)-2.326*(LN(((B27^2)/4)+1))^0.5)),"")</f>
        <v>0.7248002253344742</v>
      </c>
      <c r="C30" s="280">
        <f t="shared" si="6"/>
        <v>0.38533634001637074</v>
      </c>
      <c r="D30" s="280">
        <f t="shared" si="6"/>
        <v>0.5770300617439599</v>
      </c>
      <c r="E30" s="280">
        <f t="shared" si="6"/>
        <v>0.20595018188405734</v>
      </c>
      <c r="F30" s="280">
        <f>IF(F9="Y",IF(ISTEXT(F27),"",EXP(0.5*LN(((F27^2)/4)+1)-2.326*(LN(((F27^2)/4)+1))^0.5)),"")</f>
        <v>0.7066613469313802</v>
      </c>
      <c r="G30" s="280">
        <f>IF(G9="Y",IF(ISTEXT(G27),"",EXP(0.5*LN(((G27^2)/4)+1)-2.326*(LN(((G27^2)/4)+1))^0.5)),"")</f>
        <v>0.527433444097936</v>
      </c>
      <c r="H30" s="280">
        <f>IF(H9="Y",IF(ISTEXT(H27),"",EXP(0.5*LN(((H27^2)/4)+1)-2.326*(LN(((H27^2)/4)+1))^0.5)),"")</f>
      </c>
      <c r="I30" s="111">
        <f t="shared" si="6"/>
      </c>
      <c r="J30" s="280">
        <f t="shared" si="6"/>
      </c>
      <c r="K30" s="36">
        <f t="shared" si="6"/>
      </c>
    </row>
    <row r="31" spans="1:11" ht="12.75">
      <c r="A31" s="31" t="s">
        <v>171</v>
      </c>
      <c r="B31" s="280">
        <f aca="true" t="shared" si="7" ref="B31:K31">IF(B9="Y",IF(ISTEXT(B19),"",IF(B29="","",B19*B29)),"")</f>
        <v>19.332447613473153</v>
      </c>
      <c r="C31" s="280">
        <f t="shared" si="7"/>
        <v>295.2897510299674</v>
      </c>
      <c r="D31" s="280">
        <f t="shared" si="7"/>
        <v>0.7733611980003542</v>
      </c>
      <c r="E31" s="280">
        <f t="shared" si="7"/>
        <v>2.6546056364307145</v>
      </c>
      <c r="F31" s="280">
        <f>IF(F9="Y",IF(ISTEXT(F19),"",IF(F29="","",F19*F29)),"")</f>
        <v>858.2556591232782</v>
      </c>
      <c r="G31" s="280">
        <f>IF(G9="Y",IF(ISTEXT(G19),"",IF(G29="","",G19*G29)),"")</f>
        <v>2.0549325682590673</v>
      </c>
      <c r="H31" s="280">
        <f>IF(H9="Y",IF(ISTEXT(H19),"",IF(H29="","",H19*H29)),"")</f>
      </c>
      <c r="I31" s="111">
        <f t="shared" si="7"/>
      </c>
      <c r="J31" s="280">
        <f t="shared" si="7"/>
      </c>
      <c r="K31" s="36">
        <f t="shared" si="7"/>
      </c>
    </row>
    <row r="32" spans="1:11" ht="12.75">
      <c r="A32" s="31" t="s">
        <v>172</v>
      </c>
      <c r="B32" s="280">
        <f aca="true" t="shared" si="8" ref="B32:K32">IF(B9="Y",IF(ISTEXT(B20),"",IF(B30="","",B20*B30)),"")</f>
        <v>11.05320343635073</v>
      </c>
      <c r="C32" s="280">
        <f t="shared" si="8"/>
        <v>18.804413392798892</v>
      </c>
      <c r="D32" s="279">
        <f t="shared" si="8"/>
        <v>0.014425751543598998</v>
      </c>
      <c r="E32" s="280">
        <f t="shared" si="8"/>
      </c>
      <c r="F32" s="280">
        <f>IF(F9="Y",IF(ISTEXT(F20),"",IF(F30="","",F20*F30)),"")</f>
        <v>381.8797918817179</v>
      </c>
      <c r="G32" s="280">
        <f>IF(G9="Y",IF(ISTEXT(G20),"",IF(G30="","",G20*G30)),"")</f>
        <v>3.3755740422267904</v>
      </c>
      <c r="H32" s="280">
        <f>IF(H9="Y",IF(ISTEXT(H20),"",IF(H30="","",H20*H30)),"")</f>
      </c>
      <c r="I32" s="111">
        <f t="shared" si="8"/>
      </c>
      <c r="J32" s="280">
        <f t="shared" si="8"/>
      </c>
      <c r="K32" s="36">
        <f t="shared" si="8"/>
      </c>
    </row>
    <row r="33" spans="1:11" ht="12.75">
      <c r="A33" s="31" t="s">
        <v>173</v>
      </c>
      <c r="B33" s="280">
        <f aca="true" t="shared" si="9" ref="B33:K33">IF(B9="Y",MIN(B31:B32),"")</f>
        <v>11.05320343635073</v>
      </c>
      <c r="C33" s="280">
        <f t="shared" si="9"/>
        <v>18.804413392798892</v>
      </c>
      <c r="D33" s="279">
        <f t="shared" si="9"/>
        <v>0.014425751543598998</v>
      </c>
      <c r="E33" s="280">
        <f t="shared" si="9"/>
        <v>2.6546056364307145</v>
      </c>
      <c r="F33" s="280">
        <f t="shared" si="9"/>
        <v>381.8797918817179</v>
      </c>
      <c r="G33" s="280">
        <f t="shared" si="9"/>
        <v>2.0549325682590673</v>
      </c>
      <c r="H33" s="280">
        <f t="shared" si="9"/>
      </c>
      <c r="I33" s="111">
        <f t="shared" si="9"/>
      </c>
      <c r="J33" s="280">
        <f t="shared" si="9"/>
      </c>
      <c r="K33" s="36">
        <f t="shared" si="9"/>
      </c>
    </row>
    <row r="34" spans="1:11" ht="12.75">
      <c r="A34" s="31"/>
      <c r="B34" s="280"/>
      <c r="C34" s="280"/>
      <c r="D34" s="280"/>
      <c r="E34" s="280"/>
      <c r="F34" s="280"/>
      <c r="G34" s="280"/>
      <c r="H34" s="280"/>
      <c r="I34" s="111"/>
      <c r="J34" s="280"/>
      <c r="K34" s="36"/>
    </row>
    <row r="35" spans="1:11" ht="12.75">
      <c r="A35" s="31" t="s">
        <v>174</v>
      </c>
      <c r="B35" s="280">
        <f aca="true" t="shared" si="10" ref="B35:K35">IF(ISTEXT(B27),"",EXP(1.645*(LN(((B27^2)/B8)+1))^0.5-0.5*LN(((B27^2)/B8)+1)))</f>
        <v>1.251875563990501</v>
      </c>
      <c r="C35" s="280">
        <f t="shared" si="10"/>
        <v>1.9044870233036246</v>
      </c>
      <c r="D35" s="280">
        <f t="shared" si="10"/>
        <v>1.4619023130805207</v>
      </c>
      <c r="E35" s="280">
        <f t="shared" si="10"/>
        <v>2.7666098901615417</v>
      </c>
      <c r="F35" s="280">
        <f>IF(ISTEXT(F27),"",EXP(1.645*(LN(((F27^2)/F8)+1))^0.5-0.5*LN(((F27^2)/F8)+1)))</f>
        <v>1.2738716099804654</v>
      </c>
      <c r="G35" s="280">
        <f>IF(ISTEXT(G27),"",EXP(1.645*(LN(((G27^2)/G8)+1))^0.5-0.5*LN(((G27^2)/G8)+1)))</f>
        <v>1.5524246137530893</v>
      </c>
      <c r="H35" s="280">
        <f>IF(ISTEXT(H27),"",EXP(1.645*(LN(((H27^2)/H8)+1))^0.5-0.5*LN(((H27^2)/H8)+1)))</f>
        <v>1.5524246137530893</v>
      </c>
      <c r="I35" s="282">
        <f t="shared" si="10"/>
        <v>1.5524246137530893</v>
      </c>
      <c r="J35" s="280">
        <f t="shared" si="10"/>
        <v>1.5524246137530893</v>
      </c>
      <c r="K35" s="36">
        <f t="shared" si="10"/>
        <v>1.5524246137530893</v>
      </c>
    </row>
    <row r="36" spans="1:11" ht="12.75">
      <c r="A36" s="31" t="s">
        <v>175</v>
      </c>
      <c r="B36" s="280">
        <f aca="true" t="shared" si="11" ref="B36:K36">IF(ISTEXT(B27),"",EXP(2.326*(LN((B27^2)+1))^0.5-0.5*LN((B27^2)+1)))</f>
        <v>1.8492226496496562</v>
      </c>
      <c r="C36" s="280">
        <f>IF(ISTEXT(C27),"",EXP(2.326*(LN((C27^2)+1))^0.5-0.5*LN((C27^2)+1)))</f>
        <v>4.716723134283966</v>
      </c>
      <c r="D36" s="280">
        <f t="shared" si="11"/>
        <v>2.7154193996671636</v>
      </c>
      <c r="E36" s="280">
        <f t="shared" si="11"/>
        <v>8.48924589427925</v>
      </c>
      <c r="F36" s="280">
        <f>IF(ISTEXT(F27),"",EXP(2.326*(LN((F27^2)+1))^0.5-0.5*LN((F27^2)+1)))</f>
        <v>1.9346216740314008</v>
      </c>
      <c r="G36" s="280">
        <f>IF(ISTEXT(G27),"",EXP(2.326*(LN((G27^2)+1))^0.5-0.5*LN((G27^2)+1)))</f>
        <v>3.1144574273899703</v>
      </c>
      <c r="H36" s="280">
        <f>IF(ISTEXT(H27),"",EXP(2.326*(LN((H27^2)+1))^0.5-0.5*LN((H27^2)+1)))</f>
        <v>3.1144574273899703</v>
      </c>
      <c r="I36" s="282">
        <f t="shared" si="11"/>
        <v>3.1144574273899703</v>
      </c>
      <c r="J36" s="280">
        <f t="shared" si="11"/>
        <v>3.1144574273899703</v>
      </c>
      <c r="K36" s="36">
        <f t="shared" si="11"/>
        <v>3.1144574273899703</v>
      </c>
    </row>
    <row r="37" spans="1:11" ht="12.75">
      <c r="A37" s="31" t="s">
        <v>176</v>
      </c>
      <c r="B37" s="280">
        <f aca="true" t="shared" si="12" ref="B37:K37">IF(B9="Y",IF(B33="","",IF(B35="","",B33*B35)),"")</f>
        <v>13.837235285783313</v>
      </c>
      <c r="C37" s="280">
        <f t="shared" si="12"/>
        <v>35.812761287422376</v>
      </c>
      <c r="D37" s="280">
        <f t="shared" si="12"/>
        <v>0.021089039549512266</v>
      </c>
      <c r="E37" s="280">
        <f t="shared" si="12"/>
        <v>7.344258208227789</v>
      </c>
      <c r="F37" s="280">
        <f>IF(F9="Y",IF(F33="","",IF(F35="","",F33*F35)),"")</f>
        <v>486.46582530336906</v>
      </c>
      <c r="G37" s="280">
        <f>IF(G9="Y",IF(G33="","",IF(G35="","",G33*G35)),"")</f>
        <v>3.1901278985682264</v>
      </c>
      <c r="H37" s="280">
        <f>IF(H9="Y",IF(H33="","",IF(H35="","",H33*H35)),"")</f>
      </c>
      <c r="I37" s="111">
        <f t="shared" si="12"/>
      </c>
      <c r="J37" s="280">
        <f t="shared" si="12"/>
      </c>
      <c r="K37" s="36">
        <f t="shared" si="12"/>
      </c>
    </row>
    <row r="38" spans="1:11" ht="12.75">
      <c r="A38" s="31" t="s">
        <v>177</v>
      </c>
      <c r="B38" s="280">
        <f aca="true" t="shared" si="13" ref="B38:K38">IF(B9="Y",IF(B33="","",IF(B36="","",B33*B36)),"")</f>
        <v>20.439834145685182</v>
      </c>
      <c r="C38" s="280">
        <f t="shared" si="13"/>
        <v>88.69521167645378</v>
      </c>
      <c r="D38" s="280">
        <f t="shared" si="13"/>
        <v>0.03917196559626725</v>
      </c>
      <c r="E38" s="280">
        <f t="shared" si="13"/>
        <v>22.5356</v>
      </c>
      <c r="F38" s="280">
        <f>IF(F9="Y",IF(F33="","",IF(F36="","",F33*F36)),"")</f>
        <v>738.792922248972</v>
      </c>
      <c r="G38" s="280">
        <f>IF(G9="Y",IF(G33="","",IF(G36="","",G33*G36)),"")</f>
        <v>6.3999999999999995</v>
      </c>
      <c r="H38" s="280">
        <f>IF(H9="Y",IF(H33="","",IF(H36="","",H33*H36)),"")</f>
      </c>
      <c r="I38" s="111">
        <f t="shared" si="13"/>
      </c>
      <c r="J38" s="280">
        <f t="shared" si="13"/>
      </c>
      <c r="K38" s="36">
        <f t="shared" si="13"/>
      </c>
    </row>
    <row r="39" spans="1:11" ht="12.75">
      <c r="A39" s="40"/>
      <c r="B39" s="280"/>
      <c r="C39" s="280"/>
      <c r="D39" s="280"/>
      <c r="E39" s="280"/>
      <c r="F39" s="280"/>
      <c r="G39" s="280"/>
      <c r="H39" s="280"/>
      <c r="I39" s="111"/>
      <c r="J39" s="280"/>
      <c r="K39" s="36"/>
    </row>
    <row r="40" spans="1:11" ht="12.75">
      <c r="A40" s="41" t="s">
        <v>178</v>
      </c>
      <c r="B40" s="280">
        <f aca="true" t="shared" si="14" ref="B40:K40">IF(B36="","",IF(B35="","",B36/B35))</f>
        <v>1.477161710669582</v>
      </c>
      <c r="C40" s="280">
        <f t="shared" si="14"/>
        <v>2.476637055841991</v>
      </c>
      <c r="D40" s="280">
        <f t="shared" si="14"/>
        <v>1.8574561209532747</v>
      </c>
      <c r="E40" s="280">
        <f t="shared" si="14"/>
        <v>3.0684651003628</v>
      </c>
      <c r="F40" s="280">
        <f>IF(F36="","",IF(F35="","",F36/F35))</f>
        <v>1.518694395003487</v>
      </c>
      <c r="G40" s="280">
        <f>IF(G36="","",IF(G35="","",G36/G35))</f>
        <v>2.006189157140818</v>
      </c>
      <c r="H40" s="280">
        <f>IF(H36="","",IF(H35="","",H36/H35))</f>
        <v>2.006189157140818</v>
      </c>
      <c r="I40" s="282">
        <f t="shared" si="14"/>
        <v>2.006189157140818</v>
      </c>
      <c r="J40" s="280">
        <f t="shared" si="14"/>
        <v>2.006189157140818</v>
      </c>
      <c r="K40" s="36">
        <f t="shared" si="14"/>
        <v>2.006189157140818</v>
      </c>
    </row>
    <row r="41" spans="1:11" ht="12.75">
      <c r="A41" s="31" t="s">
        <v>179</v>
      </c>
      <c r="B41" s="284">
        <f aca="true" t="shared" si="15" ref="B41:K41">B21</f>
      </c>
      <c r="C41" s="284">
        <f t="shared" si="15"/>
      </c>
      <c r="D41" s="279">
        <f t="shared" si="15"/>
        <v>0.051</v>
      </c>
      <c r="E41" s="285">
        <f t="shared" si="15"/>
      </c>
      <c r="F41" s="285">
        <f>F21</f>
      </c>
      <c r="G41" s="285">
        <f>G21</f>
        <v>2199996.4000000004</v>
      </c>
      <c r="H41" s="279">
        <f>H21</f>
        <v>0.014</v>
      </c>
      <c r="I41" s="379">
        <f t="shared" si="15"/>
        <v>0.00059</v>
      </c>
      <c r="J41" s="284">
        <f t="shared" si="15"/>
        <v>0.00014</v>
      </c>
      <c r="K41" s="229">
        <f t="shared" si="15"/>
        <v>1.4E-08</v>
      </c>
    </row>
    <row r="42" spans="1:11" ht="12.75">
      <c r="A42" s="31" t="s">
        <v>180</v>
      </c>
      <c r="B42" s="284">
        <f aca="true" t="shared" si="16" ref="B42:K42">IF(B41="","",B41*B40)</f>
      </c>
      <c r="C42" s="284">
        <f t="shared" si="16"/>
      </c>
      <c r="D42" s="279">
        <f t="shared" si="16"/>
        <v>0.094730262168617</v>
      </c>
      <c r="E42" s="285">
        <f t="shared" si="16"/>
      </c>
      <c r="F42" s="285">
        <f t="shared" si="16"/>
      </c>
      <c r="G42" s="285">
        <f t="shared" si="16"/>
        <v>4413608.923428835</v>
      </c>
      <c r="H42" s="279">
        <f t="shared" si="16"/>
        <v>0.028086648199971455</v>
      </c>
      <c r="I42" s="379">
        <f t="shared" si="16"/>
        <v>0.0011836516027130828</v>
      </c>
      <c r="J42" s="284">
        <f t="shared" si="16"/>
        <v>0.0002808664819997145</v>
      </c>
      <c r="K42" s="229">
        <f t="shared" si="16"/>
        <v>2.8086648199971455E-08</v>
      </c>
    </row>
    <row r="43" spans="1:11" ht="12.75">
      <c r="A43" s="31"/>
      <c r="B43" s="286"/>
      <c r="C43" s="286"/>
      <c r="D43" s="286"/>
      <c r="E43" s="285"/>
      <c r="F43" s="285"/>
      <c r="G43" s="285"/>
      <c r="H43" s="285"/>
      <c r="I43" s="38"/>
      <c r="J43" s="286"/>
      <c r="K43" s="33"/>
    </row>
    <row r="44" spans="1:11" ht="12.75">
      <c r="A44" s="31" t="s">
        <v>181</v>
      </c>
      <c r="B44" s="280">
        <f aca="true" t="shared" si="17" ref="B44:K44">IF(B9="Y",IF(B10="Y",MIN(B37,B41),IF(B10="N",B37,"check Y/N input for HH criteria")),IF(B9="N",IF(B10="Y",B41,IF(B10="N","No Aq/HH criteria","Check Y/N input for HH criteria")),"Check Y/N input for Aq/HH criteria"))</f>
        <v>13.837235285783313</v>
      </c>
      <c r="C44" s="280">
        <f t="shared" si="17"/>
        <v>35.812761287422376</v>
      </c>
      <c r="D44" s="279">
        <f t="shared" si="17"/>
        <v>0.021089039549512266</v>
      </c>
      <c r="E44" s="280">
        <f t="shared" si="17"/>
        <v>7.344258208227789</v>
      </c>
      <c r="F44" s="280">
        <f>IF(F9="Y",IF(F10="Y",MIN(F37,F41),IF(F10="N",F37,"check Y/N input for HH criteria")),IF(F9="N",IF(F10="Y",F41,IF(F10="N","No Aq/HH criteria","Check Y/N input for HH criteria")),"Check Y/N input for Aq/HH criteria"))</f>
        <v>486.46582530336906</v>
      </c>
      <c r="G44" s="280">
        <f>IF(G9="Y",IF(G10="Y",MIN(G37,G41),IF(G10="N",G37,"check Y/N input for HH criteria")),IF(G9="N",IF(G10="Y",G41,IF(G10="N","No Aq/HH criteria","Check Y/N input for HH criteria")),"Check Y/N input for Aq/HH criteria"))</f>
        <v>3.1901278985682264</v>
      </c>
      <c r="H44" s="279">
        <f>IF(H9="Y",IF(H10="Y",MIN(H37,H41),IF(H10="N",H37,"check Y/N input for HH criteria")),IF(H9="N",IF(H10="Y",H41,IF(H10="N","No Aq/HH criteria","Check Y/N input for HH criteria")),"Check Y/N input for Aq/HH criteria"))</f>
        <v>0.014</v>
      </c>
      <c r="I44" s="379">
        <f t="shared" si="17"/>
        <v>0.00059</v>
      </c>
      <c r="J44" s="284">
        <f t="shared" si="17"/>
        <v>0.00014</v>
      </c>
      <c r="K44" s="229">
        <f t="shared" si="17"/>
        <v>1.4E-08</v>
      </c>
    </row>
    <row r="45" spans="1:11" ht="12.75">
      <c r="A45" s="42" t="s">
        <v>182</v>
      </c>
      <c r="B45" s="280">
        <f aca="true" t="shared" si="18" ref="B45:K45">IF(B9="Y",IF(B10="Y",MIN(B38,B42),IF(B10="N",B38,"check Y/N input for HH criteria")),IF(B9="N",IF(B10="Y",B42,IF(B10="N","No Aq/HH criteria","Check Y/N input for HH criteria")),"Check Y/N input for Aq/HH criteria"))</f>
        <v>20.439834145685182</v>
      </c>
      <c r="C45" s="280">
        <f t="shared" si="18"/>
        <v>88.69521167645378</v>
      </c>
      <c r="D45" s="279">
        <f t="shared" si="18"/>
        <v>0.03917196559626725</v>
      </c>
      <c r="E45" s="280">
        <f t="shared" si="18"/>
        <v>22.5356</v>
      </c>
      <c r="F45" s="280">
        <f>IF(F9="Y",IF(F10="Y",MIN(F38,F42),IF(F10="N",F38,"check Y/N input for HH criteria")),IF(F9="N",IF(F10="Y",F42,IF(F10="N","No Aq/HH criteria","Check Y/N input for HH criteria")),"Check Y/N input for Aq/HH criteria"))</f>
        <v>738.792922248972</v>
      </c>
      <c r="G45" s="280">
        <f>IF(G9="Y",IF(G10="Y",MIN(G38,G42),IF(G10="N",G38,"check Y/N input for HH criteria")),IF(G9="N",IF(G10="Y",G42,IF(G10="N","No Aq/HH criteria","Check Y/N input for HH criteria")),"Check Y/N input for Aq/HH criteria"))</f>
        <v>6.3999999999999995</v>
      </c>
      <c r="H45" s="279">
        <f>IF(H9="Y",IF(H10="Y",MIN(H38,H42),IF(H10="N",H38,"check Y/N input for HH criteria")),IF(H9="N",IF(H10="Y",H42,IF(H10="N","No Aq/HH criteria","Check Y/N input for HH criteria")),"Check Y/N input for Aq/HH criteria"))</f>
        <v>0.028086648199971455</v>
      </c>
      <c r="I45" s="379">
        <f t="shared" si="18"/>
        <v>0.0011836516027130828</v>
      </c>
      <c r="J45" s="284">
        <f t="shared" si="18"/>
        <v>0.0002808664819997145</v>
      </c>
      <c r="K45" s="229">
        <f t="shared" si="18"/>
        <v>2.8086648199971455E-08</v>
      </c>
    </row>
    <row r="46" spans="1:11" ht="12.75">
      <c r="A46" s="42" t="s">
        <v>183</v>
      </c>
      <c r="B46" s="34" t="s">
        <v>184</v>
      </c>
      <c r="C46" s="34" t="s">
        <v>184</v>
      </c>
      <c r="D46" s="34">
        <v>0.21</v>
      </c>
      <c r="E46" s="34" t="s">
        <v>184</v>
      </c>
      <c r="F46" s="151" t="s">
        <v>184</v>
      </c>
      <c r="G46" s="151" t="s">
        <v>184</v>
      </c>
      <c r="H46" s="151" t="s">
        <v>184</v>
      </c>
      <c r="I46" s="367" t="s">
        <v>184</v>
      </c>
      <c r="J46" s="34" t="s">
        <v>184</v>
      </c>
      <c r="K46" s="34">
        <v>1.3E-07</v>
      </c>
    </row>
    <row r="47" spans="1:11" ht="12.75">
      <c r="A47" s="42" t="s">
        <v>185</v>
      </c>
      <c r="B47" s="34">
        <v>37</v>
      </c>
      <c r="C47" s="34">
        <v>53</v>
      </c>
      <c r="D47" s="34">
        <v>1</v>
      </c>
      <c r="E47" s="34">
        <v>23</v>
      </c>
      <c r="F47" s="151">
        <v>580</v>
      </c>
      <c r="G47" s="151">
        <v>10</v>
      </c>
      <c r="H47" s="151" t="s">
        <v>184</v>
      </c>
      <c r="I47" s="367" t="s">
        <v>184</v>
      </c>
      <c r="J47" s="34" t="s">
        <v>184</v>
      </c>
      <c r="K47" s="34" t="s">
        <v>184</v>
      </c>
    </row>
    <row r="48" spans="1:11" ht="12.75">
      <c r="A48" s="42"/>
      <c r="B48" s="33"/>
      <c r="C48" s="33"/>
      <c r="D48" s="33"/>
      <c r="E48" s="33"/>
      <c r="F48" s="254"/>
      <c r="G48" s="254"/>
      <c r="H48" s="254"/>
      <c r="I48" s="38"/>
      <c r="J48" s="33"/>
      <c r="K48" s="33"/>
    </row>
    <row r="49" spans="1:11" ht="12.75">
      <c r="A49" s="42" t="s">
        <v>285</v>
      </c>
      <c r="B49" s="380">
        <f aca="true" t="shared" si="19" ref="B49:J49">B44</f>
        <v>13.837235285783313</v>
      </c>
      <c r="C49" s="285">
        <f t="shared" si="19"/>
        <v>35.812761287422376</v>
      </c>
      <c r="D49" s="279">
        <f t="shared" si="19"/>
        <v>0.021089039549512266</v>
      </c>
      <c r="E49" s="380">
        <f t="shared" si="19"/>
        <v>7.344258208227789</v>
      </c>
      <c r="F49" s="285">
        <f t="shared" si="19"/>
        <v>486.46582530336906</v>
      </c>
      <c r="G49" s="380">
        <f>G44</f>
        <v>3.1901278985682264</v>
      </c>
      <c r="H49" s="279">
        <f>H44</f>
        <v>0.014</v>
      </c>
      <c r="I49" s="379">
        <f t="shared" si="19"/>
        <v>0.00059</v>
      </c>
      <c r="J49" s="284">
        <f t="shared" si="19"/>
        <v>0.00014</v>
      </c>
      <c r="K49" s="229">
        <f>MIN(K44,K46)</f>
        <v>1.4E-08</v>
      </c>
    </row>
    <row r="50" spans="1:11" ht="12.75">
      <c r="A50" s="42" t="s">
        <v>286</v>
      </c>
      <c r="B50" s="380">
        <f aca="true" t="shared" si="20" ref="B50:J50">B45</f>
        <v>20.439834145685182</v>
      </c>
      <c r="C50" s="285">
        <f t="shared" si="20"/>
        <v>88.69521167645378</v>
      </c>
      <c r="D50" s="279">
        <f t="shared" si="20"/>
        <v>0.03917196559626725</v>
      </c>
      <c r="E50" s="380">
        <f t="shared" si="20"/>
        <v>22.5356</v>
      </c>
      <c r="F50" s="285">
        <f>F45</f>
        <v>738.792922248972</v>
      </c>
      <c r="G50" s="380">
        <f>G45</f>
        <v>6.3999999999999995</v>
      </c>
      <c r="H50" s="279">
        <f>H45</f>
        <v>0.028086648199971455</v>
      </c>
      <c r="I50" s="379">
        <f>I45</f>
        <v>0.0011836516027130828</v>
      </c>
      <c r="J50" s="284">
        <f t="shared" si="20"/>
        <v>0.0002808664819997145</v>
      </c>
      <c r="K50" s="229">
        <f>MIN(K45,K47)</f>
        <v>2.8086648199971455E-08</v>
      </c>
    </row>
    <row r="51" spans="1:11" ht="12.75">
      <c r="A51" s="42" t="s">
        <v>277</v>
      </c>
      <c r="B51" s="287">
        <v>21.77</v>
      </c>
      <c r="C51" s="288">
        <v>13.88</v>
      </c>
      <c r="D51" s="376">
        <v>0.0591</v>
      </c>
      <c r="E51" s="287">
        <v>3</v>
      </c>
      <c r="F51" s="438">
        <v>67.2</v>
      </c>
      <c r="G51" s="287">
        <v>2.6</v>
      </c>
      <c r="H51" s="287" t="s">
        <v>577</v>
      </c>
      <c r="I51" s="377" t="s">
        <v>578</v>
      </c>
      <c r="J51" s="378" t="s">
        <v>579</v>
      </c>
      <c r="K51" s="255"/>
    </row>
    <row r="52" spans="1:11" s="8" customFormat="1" ht="12.75">
      <c r="A52" s="31" t="s">
        <v>503</v>
      </c>
      <c r="B52" s="291" t="s">
        <v>504</v>
      </c>
      <c r="C52" s="288" t="s">
        <v>505</v>
      </c>
      <c r="D52" s="293" t="s">
        <v>504</v>
      </c>
      <c r="E52" s="287" t="s">
        <v>505</v>
      </c>
      <c r="F52" s="289" t="s">
        <v>505</v>
      </c>
      <c r="G52" s="435" t="s">
        <v>504</v>
      </c>
      <c r="H52" s="435" t="s">
        <v>504</v>
      </c>
      <c r="I52" s="372" t="s">
        <v>504</v>
      </c>
      <c r="J52" s="362" t="s">
        <v>504</v>
      </c>
      <c r="K52" s="290"/>
    </row>
    <row r="53" spans="1:12" ht="12.75">
      <c r="A53" s="42" t="s">
        <v>186</v>
      </c>
      <c r="B53" s="373">
        <v>25</v>
      </c>
      <c r="C53" s="373" t="s">
        <v>184</v>
      </c>
      <c r="D53" s="373">
        <v>0.087</v>
      </c>
      <c r="E53" s="373" t="s">
        <v>184</v>
      </c>
      <c r="F53" s="373" t="s">
        <v>184</v>
      </c>
      <c r="G53" s="373">
        <v>10</v>
      </c>
      <c r="H53" s="373" t="s">
        <v>184</v>
      </c>
      <c r="I53" s="134">
        <v>0.05</v>
      </c>
      <c r="J53" s="129">
        <v>0.01</v>
      </c>
      <c r="K53" s="373" t="s">
        <v>184</v>
      </c>
      <c r="L53" s="8"/>
    </row>
    <row r="54" spans="1:11" ht="12.75">
      <c r="A54" s="4"/>
      <c r="B54" s="4"/>
      <c r="C54" s="4"/>
      <c r="D54" s="4"/>
      <c r="E54" s="4"/>
      <c r="F54" s="4"/>
      <c r="G54" s="4"/>
      <c r="H54" s="4"/>
      <c r="J54" s="4"/>
      <c r="K54" s="4"/>
    </row>
    <row r="55" ht="12.75">
      <c r="A55" s="292" t="s">
        <v>580</v>
      </c>
    </row>
    <row r="56" ht="12.75">
      <c r="A56" s="292"/>
    </row>
    <row r="57" ht="12.75">
      <c r="A57" s="45"/>
    </row>
  </sheetData>
  <printOptions horizontalCentered="1"/>
  <pageMargins left="0.75" right="0.75" top="1" bottom="1" header="0.5" footer="0.5"/>
  <pageSetup fitToHeight="1" fitToWidth="1" horizontalDpi="600" verticalDpi="600" orientation="landscape" scale="65" r:id="rId3"/>
  <headerFooter alignWithMargins="0">
    <oddHeader>&amp;CEffluent Limitation Calculations (Per Section 1.4 of the SIP)
U.S. Navy-Naval Support Activity
Treasure Island</oddHeader>
    <oddFooter>&amp;C&amp;P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workbookViewId="0" topLeftCell="A24">
      <selection activeCell="C44" sqref="C44"/>
    </sheetView>
  </sheetViews>
  <sheetFormatPr defaultColWidth="9.140625" defaultRowHeight="12.75"/>
  <cols>
    <col min="1" max="1" width="9.57421875" style="257" customWidth="1"/>
    <col min="2" max="2" width="13.28125" style="259" customWidth="1"/>
    <col min="3" max="3" width="10.7109375" style="259" customWidth="1"/>
    <col min="4" max="4" width="10.140625" style="316" bestFit="1" customWidth="1"/>
    <col min="5" max="5" width="11.57421875" style="316" customWidth="1"/>
    <col min="6" max="6" width="11.00390625" style="257" customWidth="1"/>
    <col min="7" max="16384" width="9.140625" style="257" customWidth="1"/>
  </cols>
  <sheetData>
    <row r="1" spans="1:6" ht="72">
      <c r="A1" s="256" t="s">
        <v>287</v>
      </c>
      <c r="B1" s="256" t="s">
        <v>506</v>
      </c>
      <c r="C1" s="256" t="s">
        <v>507</v>
      </c>
      <c r="D1" s="317" t="s">
        <v>509</v>
      </c>
      <c r="E1" s="317" t="s">
        <v>508</v>
      </c>
      <c r="F1" s="527" t="s">
        <v>576</v>
      </c>
    </row>
    <row r="2" spans="1:6" ht="12">
      <c r="A2" s="258">
        <v>36912</v>
      </c>
      <c r="B2" s="224">
        <v>0.334</v>
      </c>
      <c r="C2" s="318">
        <v>0.018</v>
      </c>
      <c r="D2" s="318">
        <f aca="true" t="shared" si="0" ref="D2:D33">C2*B2*0.1151</f>
        <v>0.0006919812</v>
      </c>
      <c r="E2" s="319"/>
      <c r="F2" s="225"/>
    </row>
    <row r="3" spans="1:6" ht="12">
      <c r="A3" s="258">
        <v>36937</v>
      </c>
      <c r="B3" s="224">
        <v>0.452</v>
      </c>
      <c r="C3" s="318">
        <v>0.011</v>
      </c>
      <c r="D3" s="318">
        <f t="shared" si="0"/>
        <v>0.0005722771999999999</v>
      </c>
      <c r="E3" s="319"/>
      <c r="F3" s="225"/>
    </row>
    <row r="4" spans="1:6" ht="12">
      <c r="A4" s="258">
        <v>36970</v>
      </c>
      <c r="B4" s="224">
        <v>0.413</v>
      </c>
      <c r="C4" s="318">
        <v>0.014</v>
      </c>
      <c r="D4" s="318">
        <f t="shared" si="0"/>
        <v>0.0006655081999999999</v>
      </c>
      <c r="E4" s="319"/>
      <c r="F4" s="225"/>
    </row>
    <row r="5" spans="1:6" ht="12">
      <c r="A5" s="258">
        <v>36999</v>
      </c>
      <c r="B5" s="224">
        <v>0.303</v>
      </c>
      <c r="C5" s="318">
        <v>0.023</v>
      </c>
      <c r="D5" s="318">
        <f t="shared" si="0"/>
        <v>0.0008021318999999999</v>
      </c>
      <c r="E5" s="319"/>
      <c r="F5" s="225"/>
    </row>
    <row r="6" spans="1:6" ht="12">
      <c r="A6" s="258">
        <v>37028</v>
      </c>
      <c r="B6" s="224">
        <v>0.286</v>
      </c>
      <c r="C6" s="318">
        <v>0.021</v>
      </c>
      <c r="D6" s="318">
        <f t="shared" si="0"/>
        <v>0.0006912906</v>
      </c>
      <c r="E6" s="319"/>
      <c r="F6" s="225"/>
    </row>
    <row r="7" spans="1:6" ht="12">
      <c r="A7" s="258">
        <v>37063</v>
      </c>
      <c r="B7" s="224">
        <v>0.267</v>
      </c>
      <c r="C7" s="318">
        <v>0.018</v>
      </c>
      <c r="D7" s="318">
        <f t="shared" si="0"/>
        <v>0.0005531706</v>
      </c>
      <c r="E7" s="319"/>
      <c r="F7" s="225"/>
    </row>
    <row r="8" spans="1:6" ht="12">
      <c r="A8" s="258">
        <v>37073</v>
      </c>
      <c r="B8" s="224">
        <v>0.266</v>
      </c>
      <c r="C8" s="318">
        <v>0.014</v>
      </c>
      <c r="D8" s="318">
        <f t="shared" si="0"/>
        <v>0.0004286324</v>
      </c>
      <c r="E8" s="319"/>
      <c r="F8" s="225"/>
    </row>
    <row r="9" spans="1:6" ht="12">
      <c r="A9" s="258">
        <v>37123</v>
      </c>
      <c r="B9" s="224">
        <v>0.27</v>
      </c>
      <c r="C9" s="318">
        <v>0.012</v>
      </c>
      <c r="D9" s="318">
        <f t="shared" si="0"/>
        <v>0.000372924</v>
      </c>
      <c r="E9" s="318"/>
      <c r="F9" s="225"/>
    </row>
    <row r="10" spans="1:6" ht="12">
      <c r="A10" s="258">
        <v>37150</v>
      </c>
      <c r="B10" s="224">
        <v>0.285</v>
      </c>
      <c r="C10" s="318">
        <v>0.015</v>
      </c>
      <c r="D10" s="318">
        <f t="shared" si="0"/>
        <v>0.0004920524999999999</v>
      </c>
      <c r="E10" s="528">
        <f>AVERAGE(D2:D10)</f>
        <v>0.0005855520666666666</v>
      </c>
      <c r="F10" s="319">
        <f>LN(E9:E10)</f>
        <v>-7.442955452037106</v>
      </c>
    </row>
    <row r="11" spans="1:6" ht="12">
      <c r="A11" s="258">
        <v>37185</v>
      </c>
      <c r="B11" s="224">
        <v>0.278</v>
      </c>
      <c r="C11" s="318">
        <v>0.017</v>
      </c>
      <c r="D11" s="318">
        <f t="shared" si="0"/>
        <v>0.0005439626000000001</v>
      </c>
      <c r="E11" s="528">
        <f>AVERAGE(D2:D11)</f>
        <v>0.00058139312</v>
      </c>
      <c r="F11" s="319">
        <f aca="true" t="shared" si="1" ref="F11:F35">LN(E10:E11)</f>
        <v>-7.450083403414847</v>
      </c>
    </row>
    <row r="12" spans="1:6" ht="12">
      <c r="A12" s="258">
        <v>37215</v>
      </c>
      <c r="B12" s="224">
        <v>0.356</v>
      </c>
      <c r="C12" s="318">
        <v>0.022</v>
      </c>
      <c r="D12" s="318">
        <f t="shared" si="0"/>
        <v>0.0009014631999999998</v>
      </c>
      <c r="E12" s="528">
        <f>AVERAGE(D2:D12)</f>
        <v>0.0006104904</v>
      </c>
      <c r="F12" s="319">
        <f t="shared" si="1"/>
        <v>-7.401247989352876</v>
      </c>
    </row>
    <row r="13" spans="1:6" ht="12">
      <c r="A13" s="258">
        <v>37245</v>
      </c>
      <c r="B13" s="224">
        <v>0.498</v>
      </c>
      <c r="C13" s="318">
        <v>0.026</v>
      </c>
      <c r="D13" s="318">
        <f t="shared" si="0"/>
        <v>0.0014903147999999998</v>
      </c>
      <c r="E13" s="528">
        <f aca="true" t="shared" si="2" ref="E13:E23">AVERAGE(D2:D13)</f>
        <v>0.0006838091</v>
      </c>
      <c r="F13" s="319">
        <f t="shared" si="1"/>
        <v>-7.287831772862833</v>
      </c>
    </row>
    <row r="14" spans="1:6" ht="12">
      <c r="A14" s="258">
        <v>37269</v>
      </c>
      <c r="B14" s="224">
        <v>0.444</v>
      </c>
      <c r="C14" s="318">
        <v>0.013</v>
      </c>
      <c r="D14" s="318">
        <f t="shared" si="0"/>
        <v>0.0006643572</v>
      </c>
      <c r="E14" s="528">
        <f t="shared" si="2"/>
        <v>0.0006815071000000001</v>
      </c>
      <c r="F14" s="319">
        <f t="shared" si="1"/>
        <v>-7.291203888686798</v>
      </c>
    </row>
    <row r="15" spans="1:6" ht="12">
      <c r="A15" s="258">
        <v>37310</v>
      </c>
      <c r="B15" s="224">
        <v>0.363</v>
      </c>
      <c r="C15" s="318">
        <v>0.017</v>
      </c>
      <c r="D15" s="318">
        <f t="shared" si="0"/>
        <v>0.0007102821</v>
      </c>
      <c r="E15" s="528">
        <f t="shared" si="2"/>
        <v>0.0006930075083333333</v>
      </c>
      <c r="F15" s="319">
        <f t="shared" si="1"/>
        <v>-7.27446972429723</v>
      </c>
    </row>
    <row r="16" spans="1:6" ht="12">
      <c r="A16" s="258">
        <v>37339</v>
      </c>
      <c r="B16" s="224">
        <v>0.367</v>
      </c>
      <c r="C16" s="318">
        <v>0.0182</v>
      </c>
      <c r="D16" s="318">
        <f t="shared" si="0"/>
        <v>0.0007687989399999999</v>
      </c>
      <c r="E16" s="528">
        <f t="shared" si="2"/>
        <v>0.0007016150700000001</v>
      </c>
      <c r="F16" s="319">
        <f t="shared" si="1"/>
        <v>-7.262125637661497</v>
      </c>
    </row>
    <row r="17" spans="1:6" ht="12">
      <c r="A17" s="258">
        <v>37368</v>
      </c>
      <c r="B17" s="224">
        <v>0.386</v>
      </c>
      <c r="C17" s="318">
        <v>0.0248</v>
      </c>
      <c r="D17" s="318">
        <f t="shared" si="0"/>
        <v>0.0011018292799999999</v>
      </c>
      <c r="E17" s="528">
        <f t="shared" si="2"/>
        <v>0.0007265898516666666</v>
      </c>
      <c r="F17" s="319">
        <f t="shared" si="1"/>
        <v>-7.2271484051524055</v>
      </c>
    </row>
    <row r="18" spans="1:6" ht="12">
      <c r="A18" s="258">
        <v>37399</v>
      </c>
      <c r="B18" s="224">
        <v>0.384</v>
      </c>
      <c r="C18" s="318">
        <v>0.0231</v>
      </c>
      <c r="D18" s="318">
        <f t="shared" si="0"/>
        <v>0.00102098304</v>
      </c>
      <c r="E18" s="528">
        <f t="shared" si="2"/>
        <v>0.0007540642216666665</v>
      </c>
      <c r="F18" s="319">
        <f t="shared" si="1"/>
        <v>-7.1900330189592445</v>
      </c>
    </row>
    <row r="19" spans="1:6" ht="12">
      <c r="A19" s="258">
        <v>37426</v>
      </c>
      <c r="B19" s="224">
        <v>0.369</v>
      </c>
      <c r="C19" s="318">
        <v>0.0591</v>
      </c>
      <c r="D19" s="318">
        <f t="shared" si="0"/>
        <v>0.0025100892899999998</v>
      </c>
      <c r="E19" s="528">
        <f t="shared" si="2"/>
        <v>0.0009171407791666667</v>
      </c>
      <c r="F19" s="319">
        <f t="shared" si="1"/>
        <v>-6.9942495760442736</v>
      </c>
    </row>
    <row r="20" spans="1:6" ht="12">
      <c r="A20" s="258">
        <v>37460</v>
      </c>
      <c r="B20" s="224">
        <v>0.381</v>
      </c>
      <c r="C20" s="318">
        <v>0.042</v>
      </c>
      <c r="D20" s="318">
        <f t="shared" si="0"/>
        <v>0.0018418302</v>
      </c>
      <c r="E20" s="528">
        <f t="shared" si="2"/>
        <v>0.0010349072625</v>
      </c>
      <c r="F20" s="319">
        <f t="shared" si="1"/>
        <v>-6.87344345772853</v>
      </c>
    </row>
    <row r="21" spans="1:6" ht="12">
      <c r="A21" s="258">
        <v>37491</v>
      </c>
      <c r="B21" s="224">
        <v>0.367</v>
      </c>
      <c r="C21" s="318">
        <v>0.0341</v>
      </c>
      <c r="D21" s="318">
        <f t="shared" si="0"/>
        <v>0.0014404419699999998</v>
      </c>
      <c r="E21" s="528">
        <f t="shared" si="2"/>
        <v>0.0011238670933333332</v>
      </c>
      <c r="F21" s="319">
        <f t="shared" si="1"/>
        <v>-6.790979778867416</v>
      </c>
    </row>
    <row r="22" spans="1:6" ht="12">
      <c r="A22" s="258">
        <v>37519</v>
      </c>
      <c r="B22" s="224">
        <v>0.386</v>
      </c>
      <c r="C22" s="318">
        <v>0.032</v>
      </c>
      <c r="D22" s="318">
        <f t="shared" si="0"/>
        <v>0.0014217152</v>
      </c>
      <c r="E22" s="528">
        <f t="shared" si="2"/>
        <v>0.001201338985</v>
      </c>
      <c r="F22" s="319">
        <f t="shared" si="1"/>
        <v>-6.724318523420216</v>
      </c>
    </row>
    <row r="23" spans="1:6" ht="12">
      <c r="A23" s="258">
        <v>37549</v>
      </c>
      <c r="B23" s="224">
        <v>0.382</v>
      </c>
      <c r="C23" s="318">
        <v>0.0346</v>
      </c>
      <c r="D23" s="318">
        <f t="shared" si="0"/>
        <v>0.00152129972</v>
      </c>
      <c r="E23" s="528">
        <f t="shared" si="2"/>
        <v>0.001282783745</v>
      </c>
      <c r="F23" s="319">
        <f t="shared" si="1"/>
        <v>-6.658722761725403</v>
      </c>
    </row>
    <row r="24" spans="1:6" ht="12.75" customHeight="1">
      <c r="A24" s="258">
        <v>37647</v>
      </c>
      <c r="B24" s="260">
        <v>0.565</v>
      </c>
      <c r="C24" s="224">
        <v>0.0143</v>
      </c>
      <c r="D24" s="318">
        <f t="shared" si="0"/>
        <v>0.00092995045</v>
      </c>
      <c r="E24" s="528">
        <f aca="true" t="shared" si="3" ref="E24:E33">AVERAGE(D15:D24)</f>
        <v>0.001326722019</v>
      </c>
      <c r="F24" s="319">
        <f t="shared" si="1"/>
        <v>-6.625044026359953</v>
      </c>
    </row>
    <row r="25" spans="1:6" ht="12">
      <c r="A25" s="258">
        <v>37660</v>
      </c>
      <c r="B25" s="260">
        <v>0.466</v>
      </c>
      <c r="C25" s="318">
        <v>0.0159</v>
      </c>
      <c r="D25" s="318">
        <f t="shared" si="0"/>
        <v>0.0008528219400000001</v>
      </c>
      <c r="E25" s="528">
        <f t="shared" si="3"/>
        <v>0.0013409760029999998</v>
      </c>
      <c r="F25" s="319">
        <f t="shared" si="1"/>
        <v>-6.6143575696972965</v>
      </c>
    </row>
    <row r="26" spans="1:6" ht="12">
      <c r="A26" s="258">
        <v>37681</v>
      </c>
      <c r="B26" s="260">
        <v>0.42</v>
      </c>
      <c r="C26" s="224">
        <v>0.0215</v>
      </c>
      <c r="D26" s="318">
        <f t="shared" si="0"/>
        <v>0.0010393529999999998</v>
      </c>
      <c r="E26" s="528">
        <f t="shared" si="3"/>
        <v>0.001368031409</v>
      </c>
      <c r="F26" s="319">
        <f t="shared" si="1"/>
        <v>-6.5943825002500285</v>
      </c>
    </row>
    <row r="27" spans="1:6" ht="12">
      <c r="A27" s="258">
        <v>37712</v>
      </c>
      <c r="B27" s="260">
        <v>0.415</v>
      </c>
      <c r="C27" s="224">
        <v>0.015</v>
      </c>
      <c r="D27" s="318">
        <f t="shared" si="0"/>
        <v>0.0007164974999999999</v>
      </c>
      <c r="E27" s="528">
        <f t="shared" si="3"/>
        <v>0.0013294982309999999</v>
      </c>
      <c r="F27" s="319">
        <f t="shared" si="1"/>
        <v>-6.622953677857489</v>
      </c>
    </row>
    <row r="28" spans="1:6" ht="12">
      <c r="A28" s="258">
        <v>37764</v>
      </c>
      <c r="B28" s="260">
        <v>0.39</v>
      </c>
      <c r="C28" s="318">
        <v>0.0156</v>
      </c>
      <c r="D28" s="318">
        <f t="shared" si="0"/>
        <v>0.0007002684</v>
      </c>
      <c r="E28" s="528">
        <f t="shared" si="3"/>
        <v>0.001297426767</v>
      </c>
      <c r="F28" s="319">
        <f t="shared" si="1"/>
        <v>-6.647372386135616</v>
      </c>
    </row>
    <row r="29" spans="1:6" ht="12">
      <c r="A29" s="258">
        <v>2003</v>
      </c>
      <c r="B29" s="260">
        <v>0.385</v>
      </c>
      <c r="C29" s="318">
        <v>0.021</v>
      </c>
      <c r="D29" s="318">
        <f t="shared" si="0"/>
        <v>0.0009305835</v>
      </c>
      <c r="E29" s="528">
        <f t="shared" si="3"/>
        <v>0.001139476188</v>
      </c>
      <c r="F29" s="319">
        <f t="shared" si="1"/>
        <v>-6.777186606381477</v>
      </c>
    </row>
    <row r="30" spans="1:6" ht="12">
      <c r="A30" s="258">
        <v>37824</v>
      </c>
      <c r="B30" s="260">
        <v>0.408</v>
      </c>
      <c r="C30" s="318">
        <v>0.011</v>
      </c>
      <c r="D30" s="318">
        <f t="shared" si="0"/>
        <v>0.0005165688</v>
      </c>
      <c r="E30" s="528">
        <f t="shared" si="3"/>
        <v>0.001006950048</v>
      </c>
      <c r="F30" s="319">
        <f t="shared" si="1"/>
        <v>-6.900829271242703</v>
      </c>
    </row>
    <row r="31" spans="1:6" ht="12">
      <c r="A31" s="258">
        <v>37853</v>
      </c>
      <c r="B31" s="260">
        <v>0.437</v>
      </c>
      <c r="C31" s="318">
        <v>0.0065</v>
      </c>
      <c r="D31" s="318">
        <f t="shared" si="0"/>
        <v>0.00032694154999999994</v>
      </c>
      <c r="E31" s="528">
        <f t="shared" si="3"/>
        <v>0.0008956000059999998</v>
      </c>
      <c r="F31" s="319">
        <f t="shared" si="1"/>
        <v>-7.018016666540255</v>
      </c>
    </row>
    <row r="32" spans="1:6" ht="12">
      <c r="A32" s="258">
        <v>37882</v>
      </c>
      <c r="B32" s="260">
        <v>0.377</v>
      </c>
      <c r="C32" s="318">
        <v>0.022</v>
      </c>
      <c r="D32" s="318">
        <f t="shared" si="0"/>
        <v>0.0009546393999999999</v>
      </c>
      <c r="E32" s="528">
        <f t="shared" si="3"/>
        <v>0.0008488924259999999</v>
      </c>
      <c r="F32" s="319">
        <f t="shared" si="1"/>
        <v>-7.071578086394681</v>
      </c>
    </row>
    <row r="33" spans="1:6" ht="12">
      <c r="A33" s="258">
        <v>37911</v>
      </c>
      <c r="B33" s="224">
        <v>0.663</v>
      </c>
      <c r="C33" s="318">
        <v>0.01158</v>
      </c>
      <c r="D33" s="318">
        <f t="shared" si="0"/>
        <v>0.000883684854</v>
      </c>
      <c r="E33" s="528">
        <f t="shared" si="3"/>
        <v>0.0007851309394</v>
      </c>
      <c r="F33" s="319">
        <f t="shared" si="1"/>
        <v>-7.149660052308297</v>
      </c>
    </row>
    <row r="34" spans="1:6" ht="12">
      <c r="A34" s="258">
        <v>37948</v>
      </c>
      <c r="B34" s="224">
        <v>0.382</v>
      </c>
      <c r="C34" s="318">
        <v>0.0101</v>
      </c>
      <c r="D34" s="318">
        <f>C34*B34*0.1151</f>
        <v>0.00044407881999999996</v>
      </c>
      <c r="E34" s="528">
        <f>AVERAGE(D24:D34)</f>
        <v>0.0007541262012727274</v>
      </c>
      <c r="F34" s="319">
        <f t="shared" si="1"/>
        <v>-7.1899508282687945</v>
      </c>
    </row>
    <row r="35" spans="1:6" ht="12">
      <c r="A35" s="258">
        <v>37975</v>
      </c>
      <c r="B35" s="224">
        <v>0.444</v>
      </c>
      <c r="C35" s="318">
        <v>0.015</v>
      </c>
      <c r="D35" s="318">
        <f>C35*B35*0.1151</f>
        <v>0.000766566</v>
      </c>
      <c r="E35" s="528">
        <f>AVERAGE(D24:D35)</f>
        <v>0.0007551628511666667</v>
      </c>
      <c r="F35" s="319">
        <f t="shared" si="1"/>
        <v>-7.188577135064991</v>
      </c>
    </row>
    <row r="36" spans="1:6" ht="12">
      <c r="A36" s="439"/>
      <c r="B36" s="224"/>
      <c r="C36" s="316"/>
      <c r="D36" s="319"/>
      <c r="E36" s="319"/>
      <c r="F36" s="225"/>
    </row>
    <row r="37" spans="1:6" ht="12">
      <c r="A37" s="261" t="s">
        <v>288</v>
      </c>
      <c r="B37" s="224"/>
      <c r="C37" s="224"/>
      <c r="D37" s="319"/>
      <c r="E37" s="440">
        <f>COUNT(E10:E35)</f>
        <v>26</v>
      </c>
      <c r="F37" s="440">
        <f>COUNT(F10:F35)</f>
        <v>26</v>
      </c>
    </row>
    <row r="38" spans="1:8" ht="12">
      <c r="A38" s="261" t="s">
        <v>559</v>
      </c>
      <c r="B38" s="224"/>
      <c r="C38" s="224"/>
      <c r="D38" s="319"/>
      <c r="E38" s="319">
        <f>MAX(E10:E35)</f>
        <v>0.001368031409</v>
      </c>
      <c r="F38" s="319">
        <f>MAX(F10:F35)</f>
        <v>-6.5943825002500285</v>
      </c>
      <c r="H38" s="529"/>
    </row>
    <row r="39" spans="1:6" ht="12">
      <c r="A39" s="261" t="s">
        <v>289</v>
      </c>
      <c r="B39" s="224"/>
      <c r="C39" s="224"/>
      <c r="D39" s="319"/>
      <c r="E39" s="319">
        <f>AVERAGE(E10:E35)</f>
        <v>0.000939463822775874</v>
      </c>
      <c r="F39" s="319">
        <f>AVERAGE(F10:F35)</f>
        <v>-7.010335469104319</v>
      </c>
    </row>
    <row r="40" spans="1:6" ht="12">
      <c r="A40" s="261" t="s">
        <v>290</v>
      </c>
      <c r="B40" s="224"/>
      <c r="C40" s="224"/>
      <c r="D40" s="319"/>
      <c r="E40" s="319">
        <f>STDEV(E10:E35)</f>
        <v>0.00027148412586245924</v>
      </c>
      <c r="F40" s="319">
        <f>STDEV(F10:F35)</f>
        <v>0.2889936458997143</v>
      </c>
    </row>
    <row r="41" spans="1:6" ht="12.75" thickBot="1">
      <c r="A41" s="261" t="s">
        <v>291</v>
      </c>
      <c r="B41" s="224"/>
      <c r="C41" s="224"/>
      <c r="D41" s="320"/>
      <c r="E41" s="319"/>
      <c r="F41" s="321">
        <f>EXP(F39+3*F40)</f>
        <v>0.0021477069703477116</v>
      </c>
    </row>
    <row r="42" spans="1:7" ht="20.25" customHeight="1" thickBot="1">
      <c r="A42" s="593" t="s">
        <v>292</v>
      </c>
      <c r="B42" s="224"/>
      <c r="C42" s="224"/>
      <c r="D42" s="320"/>
      <c r="E42" s="526"/>
      <c r="F42" s="594">
        <v>0.0021</v>
      </c>
      <c r="G42" s="595" t="s">
        <v>293</v>
      </c>
    </row>
    <row r="44" ht="12">
      <c r="C44" s="522"/>
    </row>
    <row r="47" spans="1:3" ht="24.75" customHeight="1">
      <c r="A47" s="523"/>
      <c r="C47" s="341"/>
    </row>
    <row r="48" spans="1:5" ht="27" customHeight="1">
      <c r="A48" s="259"/>
      <c r="B48" s="524"/>
      <c r="C48" s="24"/>
      <c r="D48" s="525"/>
      <c r="E48" s="525"/>
    </row>
  </sheetData>
  <printOptions horizontalCentered="1" verticalCentered="1"/>
  <pageMargins left="0.75" right="0.75" top="1" bottom="1" header="0.5" footer="0.5"/>
  <pageSetup fitToHeight="1" fitToWidth="1" horizontalDpi="600" verticalDpi="600" orientation="portrait" scale="96" r:id="rId3"/>
  <headerFooter alignWithMargins="0">
    <oddHeader>&amp;CMercury Mass Emission Limit Calculation
U.S. Navy, Naval Support Activity
Treasure Island</oddHeader>
    <oddFooter>&amp;C&amp;P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workbookViewId="0" topLeftCell="A1">
      <selection activeCell="J39" sqref="J39"/>
    </sheetView>
  </sheetViews>
  <sheetFormatPr defaultColWidth="9.140625" defaultRowHeight="12.75"/>
  <cols>
    <col min="1" max="1" width="12.8515625" style="23" bestFit="1" customWidth="1"/>
    <col min="2" max="2" width="9.140625" style="23" customWidth="1"/>
    <col min="3" max="3" width="6.00390625" style="0" customWidth="1"/>
    <col min="4" max="4" width="13.7109375" style="257" customWidth="1"/>
    <col min="5" max="5" width="9.140625" style="325" customWidth="1"/>
    <col min="6" max="16384" width="9.140625" style="8" customWidth="1"/>
  </cols>
  <sheetData>
    <row r="1" spans="1:5" ht="13.5" thickBot="1">
      <c r="A1" s="223" t="s">
        <v>287</v>
      </c>
      <c r="B1" s="223" t="s">
        <v>299</v>
      </c>
      <c r="D1" s="322"/>
      <c r="E1" s="323"/>
    </row>
    <row r="2" spans="1:10" ht="12.75">
      <c r="A2" s="258">
        <v>36912</v>
      </c>
      <c r="B2" s="225">
        <v>15.9</v>
      </c>
      <c r="D2" s="328" t="s">
        <v>547</v>
      </c>
      <c r="E2" s="329"/>
      <c r="F2" s="330"/>
      <c r="G2" s="330"/>
      <c r="H2" s="330"/>
      <c r="I2" s="330"/>
      <c r="J2" s="331"/>
    </row>
    <row r="3" spans="1:10" ht="12.75">
      <c r="A3" s="258">
        <v>36937</v>
      </c>
      <c r="B3" s="225">
        <v>13</v>
      </c>
      <c r="D3" s="332"/>
      <c r="E3" s="323"/>
      <c r="F3" s="325"/>
      <c r="G3" s="325"/>
      <c r="H3" s="325"/>
      <c r="I3" s="325"/>
      <c r="J3" s="333"/>
    </row>
    <row r="4" spans="1:10" ht="12.75">
      <c r="A4" s="258">
        <v>36970</v>
      </c>
      <c r="B4" s="225">
        <v>9.4</v>
      </c>
      <c r="D4" s="332"/>
      <c r="E4" s="323"/>
      <c r="F4" s="325"/>
      <c r="G4" s="325"/>
      <c r="H4" s="325"/>
      <c r="I4" s="325"/>
      <c r="J4" s="333"/>
    </row>
    <row r="5" spans="1:10" ht="12.75">
      <c r="A5" s="258">
        <v>36999</v>
      </c>
      <c r="B5" s="225">
        <v>11.6</v>
      </c>
      <c r="D5" s="332" t="s">
        <v>548</v>
      </c>
      <c r="E5" s="323"/>
      <c r="F5" s="325"/>
      <c r="G5" s="325"/>
      <c r="H5" s="325"/>
      <c r="I5" s="325"/>
      <c r="J5" s="333"/>
    </row>
    <row r="6" spans="1:10" ht="12.75">
      <c r="A6" s="258">
        <v>37028</v>
      </c>
      <c r="B6" s="225">
        <v>13.3</v>
      </c>
      <c r="D6" s="332" t="s">
        <v>566</v>
      </c>
      <c r="E6" s="323"/>
      <c r="F6" s="325"/>
      <c r="G6" s="325"/>
      <c r="H6" s="325"/>
      <c r="I6" s="325"/>
      <c r="J6" s="333"/>
    </row>
    <row r="7" spans="1:10" ht="12.75">
      <c r="A7" s="258">
        <v>37063</v>
      </c>
      <c r="B7" s="225">
        <v>14.6</v>
      </c>
      <c r="D7" s="332"/>
      <c r="E7" s="323"/>
      <c r="F7" s="325"/>
      <c r="G7" s="325"/>
      <c r="H7" s="325"/>
      <c r="I7" s="325"/>
      <c r="J7" s="333"/>
    </row>
    <row r="8" spans="1:10" ht="12.75">
      <c r="A8" s="258">
        <v>37073</v>
      </c>
      <c r="B8" s="225">
        <v>8.3</v>
      </c>
      <c r="D8" s="332" t="s">
        <v>549</v>
      </c>
      <c r="E8" s="323"/>
      <c r="F8" s="325"/>
      <c r="G8" s="325"/>
      <c r="H8" s="325"/>
      <c r="I8" s="325"/>
      <c r="J8" s="333"/>
    </row>
    <row r="9" spans="1:10" ht="13.5" thickBot="1">
      <c r="A9" s="258">
        <v>37123</v>
      </c>
      <c r="B9" s="225">
        <v>10.8</v>
      </c>
      <c r="D9" s="334" t="s">
        <v>567</v>
      </c>
      <c r="E9" s="335"/>
      <c r="F9" s="336"/>
      <c r="G9" s="336"/>
      <c r="H9" s="336"/>
      <c r="I9" s="336"/>
      <c r="J9" s="337"/>
    </row>
    <row r="10" spans="1:5" ht="12.75">
      <c r="A10" s="258">
        <v>37150</v>
      </c>
      <c r="B10" s="225">
        <v>9.6</v>
      </c>
      <c r="D10" s="65"/>
      <c r="E10" s="323"/>
    </row>
    <row r="11" spans="1:5" ht="12.75">
      <c r="A11" s="258">
        <v>37185</v>
      </c>
      <c r="B11" s="225">
        <v>9.7</v>
      </c>
      <c r="D11" s="65"/>
      <c r="E11" s="323"/>
    </row>
    <row r="12" spans="1:5" ht="12.75">
      <c r="A12" s="258">
        <v>37215</v>
      </c>
      <c r="B12" s="225">
        <v>11.6</v>
      </c>
      <c r="D12" s="65"/>
      <c r="E12" s="323"/>
    </row>
    <row r="13" spans="1:5" ht="12.75">
      <c r="A13" s="258">
        <v>37245</v>
      </c>
      <c r="B13" s="225">
        <v>8.8493</v>
      </c>
      <c r="D13" s="65"/>
      <c r="E13" s="323"/>
    </row>
    <row r="14" spans="1:5" ht="12.75">
      <c r="A14" s="258">
        <v>37269</v>
      </c>
      <c r="B14" s="225">
        <v>9.8</v>
      </c>
      <c r="D14" s="65"/>
      <c r="E14" s="323"/>
    </row>
    <row r="15" spans="1:5" ht="12.75">
      <c r="A15" s="258">
        <v>37310</v>
      </c>
      <c r="B15" s="225">
        <v>10.8122</v>
      </c>
      <c r="D15" s="65"/>
      <c r="E15" s="323"/>
    </row>
    <row r="16" spans="1:5" ht="12.75">
      <c r="A16" s="258">
        <v>37339</v>
      </c>
      <c r="B16" s="225">
        <v>8.9379</v>
      </c>
      <c r="D16" s="65"/>
      <c r="E16" s="323"/>
    </row>
    <row r="17" spans="1:5" ht="12.75">
      <c r="A17" s="258">
        <v>37368</v>
      </c>
      <c r="B17" s="225">
        <v>12.1124</v>
      </c>
      <c r="D17" s="65"/>
      <c r="E17" s="323"/>
    </row>
    <row r="18" spans="1:5" ht="12.75">
      <c r="A18" s="258">
        <v>37399</v>
      </c>
      <c r="B18" s="225">
        <v>16.2</v>
      </c>
      <c r="D18" s="65"/>
      <c r="E18" s="323"/>
    </row>
    <row r="19" spans="1:5" ht="12.75">
      <c r="A19" s="258">
        <v>37416</v>
      </c>
      <c r="B19" s="225">
        <v>9.7439</v>
      </c>
      <c r="D19" s="65"/>
      <c r="E19" s="323"/>
    </row>
    <row r="20" spans="1:5" ht="12.75">
      <c r="A20" s="258">
        <v>37426</v>
      </c>
      <c r="B20" s="225">
        <v>18.9129</v>
      </c>
      <c r="D20" s="65"/>
      <c r="E20" s="323"/>
    </row>
    <row r="21" spans="1:5" ht="12.75">
      <c r="A21" s="258">
        <v>37460</v>
      </c>
      <c r="B21" s="225">
        <v>16.7668</v>
      </c>
      <c r="D21" s="65"/>
      <c r="E21" s="323"/>
    </row>
    <row r="22" spans="1:5" ht="12.75">
      <c r="A22" s="258">
        <v>37491</v>
      </c>
      <c r="B22" s="225">
        <v>21.7698</v>
      </c>
      <c r="D22" s="65"/>
      <c r="E22" s="323"/>
    </row>
    <row r="23" spans="1:5" ht="12.75">
      <c r="A23" s="258">
        <v>37520</v>
      </c>
      <c r="B23" s="225">
        <v>17.7077</v>
      </c>
      <c r="D23" s="65"/>
      <c r="E23" s="323"/>
    </row>
    <row r="24" spans="1:5" ht="12.75">
      <c r="A24" s="258">
        <v>37521</v>
      </c>
      <c r="B24" s="225">
        <v>11.4663</v>
      </c>
      <c r="D24" s="65"/>
      <c r="E24" s="323"/>
    </row>
    <row r="25" spans="1:5" ht="12.75">
      <c r="A25" s="258">
        <v>37549</v>
      </c>
      <c r="B25" s="225">
        <v>14.1575</v>
      </c>
      <c r="D25" s="65"/>
      <c r="E25" s="323"/>
    </row>
    <row r="26" spans="1:5" ht="12.75">
      <c r="A26" s="258">
        <v>37565</v>
      </c>
      <c r="B26" s="225">
        <v>9.0261</v>
      </c>
      <c r="D26" s="65"/>
      <c r="E26" s="323"/>
    </row>
    <row r="27" spans="1:5" ht="12.75">
      <c r="A27" s="258">
        <v>37633</v>
      </c>
      <c r="B27" s="225">
        <v>11.2282</v>
      </c>
      <c r="D27" s="324"/>
      <c r="E27" s="323"/>
    </row>
    <row r="28" spans="1:5" ht="12.75">
      <c r="A28" s="258">
        <v>37647</v>
      </c>
      <c r="B28" s="225">
        <v>8.2336</v>
      </c>
      <c r="D28" s="65"/>
      <c r="E28" s="323"/>
    </row>
    <row r="29" spans="1:5" ht="12.75">
      <c r="A29" s="258">
        <v>37661</v>
      </c>
      <c r="B29" s="225">
        <v>14.4587</v>
      </c>
      <c r="D29" s="65"/>
      <c r="E29" s="323"/>
    </row>
    <row r="30" spans="1:5" ht="12.75">
      <c r="A30" s="258">
        <v>37672</v>
      </c>
      <c r="B30" s="225">
        <v>10.4796</v>
      </c>
      <c r="D30" s="65"/>
      <c r="E30" s="323"/>
    </row>
    <row r="31" spans="1:5" ht="12.75">
      <c r="A31" s="258">
        <v>37699</v>
      </c>
      <c r="B31" s="225">
        <v>9.2</v>
      </c>
      <c r="D31" s="65"/>
      <c r="E31" s="323"/>
    </row>
    <row r="32" spans="1:5" ht="12.75">
      <c r="A32" s="258">
        <v>37730</v>
      </c>
      <c r="B32" s="225">
        <v>8.8</v>
      </c>
      <c r="D32" s="65"/>
      <c r="E32" s="323"/>
    </row>
    <row r="33" spans="1:5" ht="13.5" thickBot="1">
      <c r="A33" s="258">
        <v>37764</v>
      </c>
      <c r="B33" s="225">
        <v>9.9</v>
      </c>
      <c r="D33" s="436"/>
      <c r="E33" s="323"/>
    </row>
    <row r="34" spans="1:7" ht="13.5" thickBot="1">
      <c r="A34" s="258">
        <v>37795</v>
      </c>
      <c r="B34" s="225">
        <v>10.46</v>
      </c>
      <c r="D34" s="340" t="s">
        <v>560</v>
      </c>
      <c r="E34" s="443">
        <v>27</v>
      </c>
      <c r="F34" s="442" t="s">
        <v>198</v>
      </c>
      <c r="G34" s="263"/>
    </row>
    <row r="35" spans="1:5" ht="13.5" thickBot="1">
      <c r="A35" s="258">
        <v>37824</v>
      </c>
      <c r="B35" s="225">
        <v>10.41</v>
      </c>
      <c r="D35" s="81"/>
      <c r="E35" s="323"/>
    </row>
    <row r="36" spans="1:8" ht="12.75">
      <c r="A36" s="258">
        <v>37853</v>
      </c>
      <c r="B36" s="225">
        <v>8.79</v>
      </c>
      <c r="D36" s="342" t="s">
        <v>568</v>
      </c>
      <c r="E36" s="343"/>
      <c r="F36" s="344"/>
      <c r="G36" s="345" t="s">
        <v>550</v>
      </c>
      <c r="H36" s="346">
        <v>11</v>
      </c>
    </row>
    <row r="37" spans="1:8" ht="12.75">
      <c r="A37" s="258">
        <v>37882</v>
      </c>
      <c r="B37" s="225">
        <v>12.97</v>
      </c>
      <c r="D37" s="347" t="s">
        <v>569</v>
      </c>
      <c r="E37" s="348"/>
      <c r="F37" s="349"/>
      <c r="G37" s="350" t="s">
        <v>551</v>
      </c>
      <c r="H37" s="351">
        <v>13.8</v>
      </c>
    </row>
    <row r="38" spans="1:8" ht="13.5" thickBot="1">
      <c r="A38" s="258">
        <v>37911</v>
      </c>
      <c r="B38" s="225">
        <v>8.241</v>
      </c>
      <c r="D38" s="352" t="s">
        <v>570</v>
      </c>
      <c r="E38" s="353"/>
      <c r="F38" s="354"/>
      <c r="G38" s="355" t="s">
        <v>552</v>
      </c>
      <c r="H38" s="356">
        <v>20.4</v>
      </c>
    </row>
    <row r="39" spans="1:5" ht="12.75">
      <c r="A39" s="258">
        <v>37948</v>
      </c>
      <c r="B39" s="225">
        <v>17.66</v>
      </c>
      <c r="D39" s="341" t="s">
        <v>554</v>
      </c>
      <c r="E39" s="323"/>
    </row>
    <row r="40" spans="1:5" ht="12.75">
      <c r="A40" s="258">
        <v>37975</v>
      </c>
      <c r="B40" s="225">
        <v>8.1</v>
      </c>
      <c r="D40" s="341" t="s">
        <v>553</v>
      </c>
      <c r="E40" s="322"/>
    </row>
    <row r="41" spans="1:2" ht="13.5" thickBot="1">
      <c r="A41" s="326"/>
      <c r="B41" s="259"/>
    </row>
    <row r="42" spans="1:8" ht="21.75" customHeight="1" thickBot="1">
      <c r="A42" s="257"/>
      <c r="B42" s="257"/>
      <c r="D42" s="585" t="s">
        <v>575</v>
      </c>
      <c r="E42" s="586"/>
      <c r="F42" s="586"/>
      <c r="G42" s="586"/>
      <c r="H42" s="587"/>
    </row>
    <row r="43" spans="1:4" ht="12.75">
      <c r="A43" s="327"/>
      <c r="B43" s="441"/>
      <c r="D43" s="257" t="s">
        <v>574</v>
      </c>
    </row>
    <row r="44" spans="1:2" ht="12.75">
      <c r="A44" s="327"/>
      <c r="B44" s="259"/>
    </row>
    <row r="45" spans="1:2" ht="12.75">
      <c r="A45" s="294"/>
      <c r="B45" s="262"/>
    </row>
    <row r="46" spans="1:2" ht="12.75">
      <c r="A46" s="294"/>
      <c r="B46" s="259"/>
    </row>
    <row r="47" spans="1:4" ht="12.75">
      <c r="A47" s="295"/>
      <c r="B47" s="259"/>
      <c r="D47" s="259"/>
    </row>
    <row r="48" spans="1:2" ht="12.75">
      <c r="A48" s="295"/>
      <c r="B48" s="259"/>
    </row>
    <row r="49" spans="1:2" ht="12.75">
      <c r="A49" s="296"/>
      <c r="B49" s="259"/>
    </row>
    <row r="50" spans="1:2" ht="12.75">
      <c r="A50" s="297"/>
      <c r="B50" s="259"/>
    </row>
    <row r="51" spans="1:2" ht="12.75">
      <c r="A51" s="295"/>
      <c r="B51" s="259"/>
    </row>
    <row r="52" spans="1:2" ht="12.75">
      <c r="A52" s="295"/>
      <c r="B52" s="259"/>
    </row>
    <row r="53" ht="12.75">
      <c r="A53" s="257"/>
    </row>
  </sheetData>
  <mergeCells count="1">
    <mergeCell ref="D42:H42"/>
  </mergeCells>
  <printOptions/>
  <pageMargins left="0.75" right="0.75" top="0.75" bottom="0.25" header="0.25" footer="0.25"/>
  <pageSetup fitToHeight="1" fitToWidth="1" horizontalDpi="600" verticalDpi="600" orientation="landscape" scale="98" r:id="rId3"/>
  <headerFooter alignWithMargins="0">
    <oddHeader>&amp;CTreasure Island 
Copper Infeasibility Analysis and Interim Limit</oddHeader>
    <oddFooter>&amp;C&amp;P of &amp;N</oddFooter>
  </headerFooter>
  <legacyDrawing r:id="rId2"/>
  <oleObjects>
    <oleObject progId="MinitabGraph.Document" shapeId="534754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.75"/>
  <cols>
    <col min="1" max="1" width="12.8515625" style="23" bestFit="1" customWidth="1"/>
    <col min="2" max="2" width="5.421875" style="23" bestFit="1" customWidth="1"/>
    <col min="3" max="3" width="6.28125" style="23" customWidth="1"/>
    <col min="4" max="4" width="9.140625" style="23" customWidth="1"/>
    <col min="5" max="5" width="5.28125" style="23" bestFit="1" customWidth="1"/>
    <col min="6" max="6" width="7.57421875" style="23" customWidth="1"/>
    <col min="7" max="7" width="9.140625" style="23" customWidth="1"/>
    <col min="8" max="8" width="5.57421875" style="23" customWidth="1"/>
    <col min="9" max="9" width="8.28125" style="23" customWidth="1"/>
    <col min="10" max="10" width="9.140625" style="23" customWidth="1"/>
    <col min="11" max="11" width="6.421875" style="23" bestFit="1" customWidth="1"/>
    <col min="12" max="13" width="9.140625" style="23" customWidth="1"/>
    <col min="14" max="14" width="5.421875" style="23" bestFit="1" customWidth="1"/>
    <col min="15" max="16" width="9.140625" style="23" customWidth="1"/>
    <col min="17" max="17" width="5.28125" style="23" customWidth="1"/>
    <col min="18" max="19" width="9.140625" style="23" customWidth="1"/>
    <col min="20" max="20" width="5.8515625" style="23" customWidth="1"/>
    <col min="21" max="22" width="9.140625" style="23" customWidth="1"/>
    <col min="23" max="23" width="5.421875" style="339" bestFit="1" customWidth="1"/>
    <col min="24" max="24" width="8.8515625" style="338" customWidth="1"/>
    <col min="25" max="25" width="9.140625" style="23" customWidth="1"/>
    <col min="26" max="26" width="6.28125" style="23" customWidth="1"/>
    <col min="27" max="28" width="9.140625" style="23" customWidth="1"/>
    <col min="29" max="29" width="6.57421875" style="23" customWidth="1"/>
    <col min="30" max="31" width="9.140625" style="23" customWidth="1"/>
    <col min="32" max="32" width="9.8515625" style="23" bestFit="1" customWidth="1"/>
    <col min="33" max="33" width="6.7109375" style="23" bestFit="1" customWidth="1"/>
    <col min="34" max="34" width="6.140625" style="23" customWidth="1"/>
    <col min="35" max="35" width="9.00390625" style="23" bestFit="1" customWidth="1"/>
    <col min="36" max="16384" width="9.140625" style="23" customWidth="1"/>
  </cols>
  <sheetData>
    <row r="1" spans="1:35" s="262" customFormat="1" ht="12">
      <c r="A1" s="385" t="s">
        <v>287</v>
      </c>
      <c r="B1" s="395" t="s">
        <v>294</v>
      </c>
      <c r="C1" s="396" t="s">
        <v>295</v>
      </c>
      <c r="D1" s="397" t="s">
        <v>296</v>
      </c>
      <c r="E1" s="395" t="s">
        <v>294</v>
      </c>
      <c r="F1" s="396" t="s">
        <v>297</v>
      </c>
      <c r="G1" s="397" t="s">
        <v>296</v>
      </c>
      <c r="H1" s="395" t="s">
        <v>294</v>
      </c>
      <c r="I1" s="396" t="s">
        <v>298</v>
      </c>
      <c r="J1" s="397" t="s">
        <v>296</v>
      </c>
      <c r="K1" s="395" t="s">
        <v>294</v>
      </c>
      <c r="L1" s="396" t="s">
        <v>299</v>
      </c>
      <c r="M1" s="397" t="s">
        <v>296</v>
      </c>
      <c r="N1" s="395" t="s">
        <v>294</v>
      </c>
      <c r="O1" s="396" t="s">
        <v>300</v>
      </c>
      <c r="P1" s="397" t="s">
        <v>296</v>
      </c>
      <c r="Q1" s="395" t="s">
        <v>294</v>
      </c>
      <c r="R1" s="396" t="s">
        <v>301</v>
      </c>
      <c r="S1" s="397" t="s">
        <v>296</v>
      </c>
      <c r="T1" s="395" t="s">
        <v>294</v>
      </c>
      <c r="U1" s="396" t="s">
        <v>302</v>
      </c>
      <c r="V1" s="397" t="s">
        <v>296</v>
      </c>
      <c r="W1" s="418" t="s">
        <v>294</v>
      </c>
      <c r="X1" s="396" t="s">
        <v>303</v>
      </c>
      <c r="Y1" s="397" t="s">
        <v>296</v>
      </c>
      <c r="Z1" s="395" t="s">
        <v>294</v>
      </c>
      <c r="AA1" s="396" t="s">
        <v>304</v>
      </c>
      <c r="AB1" s="397" t="s">
        <v>296</v>
      </c>
      <c r="AC1" s="395" t="s">
        <v>294</v>
      </c>
      <c r="AD1" s="396" t="s">
        <v>305</v>
      </c>
      <c r="AE1" s="397" t="s">
        <v>296</v>
      </c>
      <c r="AF1" s="425" t="s">
        <v>502</v>
      </c>
      <c r="AG1" s="426" t="s">
        <v>294</v>
      </c>
      <c r="AH1" s="396" t="s">
        <v>306</v>
      </c>
      <c r="AI1" s="397" t="s">
        <v>296</v>
      </c>
    </row>
    <row r="2" spans="1:38" s="262" customFormat="1" ht="12">
      <c r="A2" s="444">
        <v>36912</v>
      </c>
      <c r="B2" s="398" t="s">
        <v>272</v>
      </c>
      <c r="C2" s="399">
        <v>1.9</v>
      </c>
      <c r="D2" s="400">
        <f aca="true" t="shared" si="0" ref="D2:D40">IF(C2="","",IF(B2="&lt;",C2/2,C2))</f>
        <v>0.95</v>
      </c>
      <c r="E2" s="398" t="s">
        <v>272</v>
      </c>
      <c r="F2" s="399">
        <v>0.2</v>
      </c>
      <c r="G2" s="400">
        <f aca="true" t="shared" si="1" ref="G2:G38">IF(F2="","",IF(E2="&lt;",F2/2,F2))</f>
        <v>0.1</v>
      </c>
      <c r="H2" s="398" t="s">
        <v>307</v>
      </c>
      <c r="I2" s="399">
        <v>0.7</v>
      </c>
      <c r="J2" s="400">
        <f aca="true" t="shared" si="2" ref="J2:J40">IF(I2="","",IF(H2="&lt;",I2/2,I2))</f>
        <v>0.7</v>
      </c>
      <c r="K2" s="398" t="s">
        <v>307</v>
      </c>
      <c r="L2" s="399">
        <v>15.9</v>
      </c>
      <c r="M2" s="400">
        <f aca="true" t="shared" si="3" ref="M2:M40">IF(L2="","",IF(K2="&lt;",L2/2,L2))</f>
        <v>15.9</v>
      </c>
      <c r="N2" s="398" t="s">
        <v>272</v>
      </c>
      <c r="O2" s="399">
        <v>1.1</v>
      </c>
      <c r="P2" s="400">
        <f aca="true" t="shared" si="4" ref="P2:P39">IF(O2="","",IF(N2="&lt;",O2/2,O2))</f>
        <v>0.55</v>
      </c>
      <c r="Q2" s="398"/>
      <c r="R2" s="414">
        <v>0.018</v>
      </c>
      <c r="S2" s="400">
        <f aca="true" t="shared" si="5" ref="S2:S40">IF(R2="","",IF(Q2="&lt;",R2/2,R2))</f>
        <v>0.018</v>
      </c>
      <c r="T2" s="398" t="s">
        <v>307</v>
      </c>
      <c r="U2" s="399">
        <v>2.4</v>
      </c>
      <c r="V2" s="400">
        <f aca="true" t="shared" si="6" ref="V2:V40">IF(U2="","",IF(T2="&lt;",U2/2,U2))</f>
        <v>2.4</v>
      </c>
      <c r="W2" s="419" t="s">
        <v>272</v>
      </c>
      <c r="X2" s="420">
        <v>0.5</v>
      </c>
      <c r="Y2" s="400">
        <f aca="true" t="shared" si="7" ref="Y2:Y40">IF(X2="","",IF(W2="&lt;",X2/2,X2))</f>
        <v>0.25</v>
      </c>
      <c r="Z2" s="398" t="s">
        <v>307</v>
      </c>
      <c r="AA2" s="399">
        <v>1</v>
      </c>
      <c r="AB2" s="400">
        <f aca="true" t="shared" si="8" ref="AB2:AB40">IF(AA2="","",IF(Z2="&lt;",AA2/2,AA2))</f>
        <v>1</v>
      </c>
      <c r="AC2" s="398" t="s">
        <v>307</v>
      </c>
      <c r="AD2" s="399">
        <v>40.6</v>
      </c>
      <c r="AE2" s="400">
        <f aca="true" t="shared" si="9" ref="AE2:AE40">IF(AD2="","",IF(AC2="&lt;",AD2/2,AD2))</f>
        <v>40.6</v>
      </c>
      <c r="AF2" s="427"/>
      <c r="AG2" s="399"/>
      <c r="AH2" s="399"/>
      <c r="AI2" s="400">
        <f aca="true" t="shared" si="10" ref="AI2:AI31">IF(AH2="","",IF(AG2="&lt;",AH2/2,AH2))</f>
      </c>
      <c r="AJ2" s="301"/>
      <c r="AK2" s="257"/>
      <c r="AL2" s="257"/>
    </row>
    <row r="3" spans="1:38" s="262" customFormat="1" ht="12">
      <c r="A3" s="444">
        <v>36937</v>
      </c>
      <c r="B3" s="398" t="s">
        <v>307</v>
      </c>
      <c r="C3" s="399">
        <v>3.5</v>
      </c>
      <c r="D3" s="400">
        <f t="shared" si="0"/>
        <v>3.5</v>
      </c>
      <c r="E3" s="398" t="s">
        <v>272</v>
      </c>
      <c r="F3" s="399">
        <v>0.2</v>
      </c>
      <c r="G3" s="400">
        <f t="shared" si="1"/>
        <v>0.1</v>
      </c>
      <c r="H3" s="398" t="s">
        <v>307</v>
      </c>
      <c r="I3" s="399">
        <v>0.9</v>
      </c>
      <c r="J3" s="400">
        <f t="shared" si="2"/>
        <v>0.9</v>
      </c>
      <c r="K3" s="398" t="s">
        <v>307</v>
      </c>
      <c r="L3" s="399">
        <v>13</v>
      </c>
      <c r="M3" s="400">
        <f t="shared" si="3"/>
        <v>13</v>
      </c>
      <c r="N3" s="398" t="s">
        <v>307</v>
      </c>
      <c r="O3" s="399">
        <v>1.5</v>
      </c>
      <c r="P3" s="400">
        <f t="shared" si="4"/>
        <v>1.5</v>
      </c>
      <c r="Q3" s="398" t="s">
        <v>307</v>
      </c>
      <c r="R3" s="414">
        <v>0.011</v>
      </c>
      <c r="S3" s="400">
        <f t="shared" si="5"/>
        <v>0.011</v>
      </c>
      <c r="T3" s="398" t="s">
        <v>307</v>
      </c>
      <c r="U3" s="399">
        <v>2.3</v>
      </c>
      <c r="V3" s="400">
        <f t="shared" si="6"/>
        <v>2.3</v>
      </c>
      <c r="W3" s="419" t="s">
        <v>307</v>
      </c>
      <c r="X3" s="420">
        <v>0.8</v>
      </c>
      <c r="Y3" s="400">
        <f t="shared" si="7"/>
        <v>0.8</v>
      </c>
      <c r="Z3" s="398"/>
      <c r="AA3" s="417">
        <v>3</v>
      </c>
      <c r="AB3" s="400">
        <f t="shared" si="8"/>
        <v>3</v>
      </c>
      <c r="AC3" s="398" t="s">
        <v>307</v>
      </c>
      <c r="AD3" s="399">
        <v>27.1</v>
      </c>
      <c r="AE3" s="400">
        <f t="shared" si="9"/>
        <v>27.1</v>
      </c>
      <c r="AF3" s="386">
        <v>36937</v>
      </c>
      <c r="AG3" s="399" t="s">
        <v>272</v>
      </c>
      <c r="AH3" s="399">
        <v>10</v>
      </c>
      <c r="AI3" s="400">
        <f>IF(AH3="","",IF(AG3="&lt;",AH3/2,AH3))</f>
        <v>5</v>
      </c>
      <c r="AJ3" s="301"/>
      <c r="AK3" s="257"/>
      <c r="AL3" s="257"/>
    </row>
    <row r="4" spans="1:38" s="262" customFormat="1" ht="12">
      <c r="A4" s="444">
        <v>36970</v>
      </c>
      <c r="B4" s="398" t="s">
        <v>307</v>
      </c>
      <c r="C4" s="399">
        <v>2.9</v>
      </c>
      <c r="D4" s="400">
        <f t="shared" si="0"/>
        <v>2.9</v>
      </c>
      <c r="E4" s="398" t="s">
        <v>272</v>
      </c>
      <c r="F4" s="399">
        <v>0.2</v>
      </c>
      <c r="G4" s="400">
        <f t="shared" si="1"/>
        <v>0.1</v>
      </c>
      <c r="H4" s="398" t="s">
        <v>307</v>
      </c>
      <c r="I4" s="399">
        <v>0.8</v>
      </c>
      <c r="J4" s="400">
        <f t="shared" si="2"/>
        <v>0.8</v>
      </c>
      <c r="K4" s="398" t="s">
        <v>307</v>
      </c>
      <c r="L4" s="399">
        <v>9.4</v>
      </c>
      <c r="M4" s="400">
        <f t="shared" si="3"/>
        <v>9.4</v>
      </c>
      <c r="N4" s="398" t="s">
        <v>272</v>
      </c>
      <c r="O4" s="399">
        <v>1.1</v>
      </c>
      <c r="P4" s="400">
        <f t="shared" si="4"/>
        <v>0.55</v>
      </c>
      <c r="Q4" s="398" t="s">
        <v>307</v>
      </c>
      <c r="R4" s="414">
        <v>0.014</v>
      </c>
      <c r="S4" s="400">
        <f t="shared" si="5"/>
        <v>0.014</v>
      </c>
      <c r="T4" s="398" t="s">
        <v>307</v>
      </c>
      <c r="U4" s="399">
        <v>1.5</v>
      </c>
      <c r="V4" s="400">
        <f t="shared" si="6"/>
        <v>1.5</v>
      </c>
      <c r="W4" s="419" t="s">
        <v>307</v>
      </c>
      <c r="X4" s="420">
        <v>0.37</v>
      </c>
      <c r="Y4" s="400">
        <f t="shared" si="7"/>
        <v>0.37</v>
      </c>
      <c r="Z4" s="398" t="s">
        <v>272</v>
      </c>
      <c r="AA4" s="399">
        <v>0.5</v>
      </c>
      <c r="AB4" s="400">
        <f t="shared" si="8"/>
        <v>0.25</v>
      </c>
      <c r="AC4" s="398" t="s">
        <v>307</v>
      </c>
      <c r="AD4" s="399">
        <v>17.2</v>
      </c>
      <c r="AE4" s="400">
        <f t="shared" si="9"/>
        <v>17.2</v>
      </c>
      <c r="AF4" s="427"/>
      <c r="AG4" s="399"/>
      <c r="AH4" s="399"/>
      <c r="AI4" s="400"/>
      <c r="AJ4" s="301"/>
      <c r="AK4" s="257"/>
      <c r="AL4" s="257"/>
    </row>
    <row r="5" spans="1:38" s="262" customFormat="1" ht="12">
      <c r="A5" s="444">
        <v>36999</v>
      </c>
      <c r="B5" s="398" t="s">
        <v>307</v>
      </c>
      <c r="C5" s="399">
        <v>2.4</v>
      </c>
      <c r="D5" s="400">
        <f t="shared" si="0"/>
        <v>2.4</v>
      </c>
      <c r="E5" s="398" t="s">
        <v>307</v>
      </c>
      <c r="F5" s="399">
        <v>0.27</v>
      </c>
      <c r="G5" s="400">
        <f t="shared" si="1"/>
        <v>0.27</v>
      </c>
      <c r="H5" s="398" t="s">
        <v>307</v>
      </c>
      <c r="I5" s="399">
        <v>0.7</v>
      </c>
      <c r="J5" s="400">
        <f t="shared" si="2"/>
        <v>0.7</v>
      </c>
      <c r="K5" s="398" t="s">
        <v>307</v>
      </c>
      <c r="L5" s="399">
        <v>11.6</v>
      </c>
      <c r="M5" s="400">
        <f t="shared" si="3"/>
        <v>11.6</v>
      </c>
      <c r="N5" s="398" t="s">
        <v>272</v>
      </c>
      <c r="O5" s="399">
        <v>1.1</v>
      </c>
      <c r="P5" s="400">
        <f t="shared" si="4"/>
        <v>0.55</v>
      </c>
      <c r="Q5" s="398" t="s">
        <v>307</v>
      </c>
      <c r="R5" s="414">
        <v>0.023</v>
      </c>
      <c r="S5" s="400">
        <f t="shared" si="5"/>
        <v>0.023</v>
      </c>
      <c r="T5" s="398" t="s">
        <v>307</v>
      </c>
      <c r="U5" s="399">
        <v>1.5</v>
      </c>
      <c r="V5" s="400">
        <f t="shared" si="6"/>
        <v>1.5</v>
      </c>
      <c r="W5" s="419"/>
      <c r="X5" s="420">
        <v>0.39</v>
      </c>
      <c r="Y5" s="400">
        <f t="shared" si="7"/>
        <v>0.39</v>
      </c>
      <c r="Z5" s="398" t="s">
        <v>272</v>
      </c>
      <c r="AA5" s="399">
        <v>0.5</v>
      </c>
      <c r="AB5" s="400">
        <f t="shared" si="8"/>
        <v>0.25</v>
      </c>
      <c r="AC5" s="398" t="s">
        <v>307</v>
      </c>
      <c r="AD5" s="399">
        <v>21.5</v>
      </c>
      <c r="AE5" s="400">
        <f t="shared" si="9"/>
        <v>21.5</v>
      </c>
      <c r="AF5" s="427"/>
      <c r="AG5" s="399"/>
      <c r="AH5" s="399"/>
      <c r="AI5" s="400">
        <f t="shared" si="10"/>
      </c>
      <c r="AJ5" s="301"/>
      <c r="AK5" s="257"/>
      <c r="AL5" s="257"/>
    </row>
    <row r="6" spans="1:36" s="257" customFormat="1" ht="12">
      <c r="A6" s="444">
        <v>37028</v>
      </c>
      <c r="B6" s="398" t="s">
        <v>307</v>
      </c>
      <c r="C6" s="399">
        <v>2.3</v>
      </c>
      <c r="D6" s="400">
        <f t="shared" si="0"/>
        <v>2.3</v>
      </c>
      <c r="E6" s="398" t="s">
        <v>307</v>
      </c>
      <c r="F6" s="399">
        <v>0.24</v>
      </c>
      <c r="G6" s="400">
        <f t="shared" si="1"/>
        <v>0.24</v>
      </c>
      <c r="H6" s="398" t="s">
        <v>272</v>
      </c>
      <c r="I6" s="399">
        <v>0.6</v>
      </c>
      <c r="J6" s="400">
        <f t="shared" si="2"/>
        <v>0.3</v>
      </c>
      <c r="K6" s="398" t="s">
        <v>307</v>
      </c>
      <c r="L6" s="399">
        <v>13.3</v>
      </c>
      <c r="M6" s="400">
        <f t="shared" si="3"/>
        <v>13.3</v>
      </c>
      <c r="N6" s="398" t="s">
        <v>307</v>
      </c>
      <c r="O6" s="399">
        <v>1.9</v>
      </c>
      <c r="P6" s="400">
        <f t="shared" si="4"/>
        <v>1.9</v>
      </c>
      <c r="Q6" s="398" t="s">
        <v>307</v>
      </c>
      <c r="R6" s="414">
        <v>0.021</v>
      </c>
      <c r="S6" s="400">
        <f t="shared" si="5"/>
        <v>0.021</v>
      </c>
      <c r="T6" s="398" t="s">
        <v>307</v>
      </c>
      <c r="U6" s="399">
        <v>1.9</v>
      </c>
      <c r="V6" s="400">
        <f t="shared" si="6"/>
        <v>1.9</v>
      </c>
      <c r="W6" s="419" t="s">
        <v>272</v>
      </c>
      <c r="X6" s="420">
        <v>0.5</v>
      </c>
      <c r="Y6" s="400">
        <f t="shared" si="7"/>
        <v>0.25</v>
      </c>
      <c r="Z6" s="398" t="s">
        <v>272</v>
      </c>
      <c r="AA6" s="399">
        <v>0.2</v>
      </c>
      <c r="AB6" s="400">
        <f t="shared" si="8"/>
        <v>0.1</v>
      </c>
      <c r="AC6" s="398" t="s">
        <v>307</v>
      </c>
      <c r="AD6" s="399">
        <v>22.1</v>
      </c>
      <c r="AE6" s="400">
        <f t="shared" si="9"/>
        <v>22.1</v>
      </c>
      <c r="AF6" s="427">
        <v>37027</v>
      </c>
      <c r="AG6" s="399" t="s">
        <v>272</v>
      </c>
      <c r="AH6" s="399">
        <v>10</v>
      </c>
      <c r="AI6" s="400">
        <f t="shared" si="10"/>
        <v>5</v>
      </c>
      <c r="AJ6" s="301"/>
    </row>
    <row r="7" spans="1:36" s="257" customFormat="1" ht="12">
      <c r="A7" s="444">
        <v>37063</v>
      </c>
      <c r="B7" s="398" t="s">
        <v>307</v>
      </c>
      <c r="C7" s="399">
        <v>4.3</v>
      </c>
      <c r="D7" s="400">
        <f t="shared" si="0"/>
        <v>4.3</v>
      </c>
      <c r="E7" s="398" t="s">
        <v>272</v>
      </c>
      <c r="F7" s="399">
        <v>0.11</v>
      </c>
      <c r="G7" s="400">
        <f t="shared" si="1"/>
        <v>0.055</v>
      </c>
      <c r="H7" s="398" t="s">
        <v>272</v>
      </c>
      <c r="I7" s="399">
        <v>0.6</v>
      </c>
      <c r="J7" s="400">
        <f t="shared" si="2"/>
        <v>0.3</v>
      </c>
      <c r="K7" s="398" t="s">
        <v>307</v>
      </c>
      <c r="L7" s="399">
        <v>14.6</v>
      </c>
      <c r="M7" s="400">
        <f t="shared" si="3"/>
        <v>14.6</v>
      </c>
      <c r="N7" s="398" t="s">
        <v>307</v>
      </c>
      <c r="O7" s="399">
        <v>4.5</v>
      </c>
      <c r="P7" s="400">
        <f t="shared" si="4"/>
        <v>4.5</v>
      </c>
      <c r="Q7" s="398" t="s">
        <v>307</v>
      </c>
      <c r="R7" s="414">
        <v>0.018</v>
      </c>
      <c r="S7" s="400">
        <f t="shared" si="5"/>
        <v>0.018</v>
      </c>
      <c r="T7" s="398" t="s">
        <v>307</v>
      </c>
      <c r="U7" s="399">
        <v>2.9</v>
      </c>
      <c r="V7" s="400">
        <f t="shared" si="6"/>
        <v>2.9</v>
      </c>
      <c r="W7" s="419" t="s">
        <v>307</v>
      </c>
      <c r="X7" s="420">
        <v>0.86</v>
      </c>
      <c r="Y7" s="400">
        <f t="shared" si="7"/>
        <v>0.86</v>
      </c>
      <c r="Z7" s="398" t="s">
        <v>272</v>
      </c>
      <c r="AA7" s="399">
        <v>0.2</v>
      </c>
      <c r="AB7" s="400">
        <f t="shared" si="8"/>
        <v>0.1</v>
      </c>
      <c r="AC7" s="398" t="s">
        <v>307</v>
      </c>
      <c r="AD7" s="399">
        <v>37.4</v>
      </c>
      <c r="AE7" s="400">
        <f t="shared" si="9"/>
        <v>37.4</v>
      </c>
      <c r="AF7" s="398"/>
      <c r="AG7" s="399"/>
      <c r="AH7" s="399"/>
      <c r="AI7" s="400">
        <f t="shared" si="10"/>
      </c>
      <c r="AJ7" s="301"/>
    </row>
    <row r="8" spans="1:36" s="257" customFormat="1" ht="12">
      <c r="A8" s="444">
        <v>37073</v>
      </c>
      <c r="B8" s="398"/>
      <c r="C8" s="399">
        <v>3.9</v>
      </c>
      <c r="D8" s="400">
        <f t="shared" si="0"/>
        <v>3.9</v>
      </c>
      <c r="E8" s="398"/>
      <c r="F8" s="399">
        <v>0.11</v>
      </c>
      <c r="G8" s="400">
        <f t="shared" si="1"/>
        <v>0.11</v>
      </c>
      <c r="H8" s="398" t="s">
        <v>272</v>
      </c>
      <c r="I8" s="399">
        <v>0.6</v>
      </c>
      <c r="J8" s="400">
        <f t="shared" si="2"/>
        <v>0.3</v>
      </c>
      <c r="K8" s="398"/>
      <c r="L8" s="399">
        <v>8.3</v>
      </c>
      <c r="M8" s="400">
        <f t="shared" si="3"/>
        <v>8.3</v>
      </c>
      <c r="N8" s="398"/>
      <c r="O8" s="399">
        <v>1.1</v>
      </c>
      <c r="P8" s="400">
        <f t="shared" si="4"/>
        <v>1.1</v>
      </c>
      <c r="Q8" s="398"/>
      <c r="R8" s="414">
        <v>0.014</v>
      </c>
      <c r="S8" s="400">
        <f t="shared" si="5"/>
        <v>0.014</v>
      </c>
      <c r="T8" s="398"/>
      <c r="U8" s="399">
        <v>0.8</v>
      </c>
      <c r="V8" s="400">
        <f t="shared" si="6"/>
        <v>0.8</v>
      </c>
      <c r="W8" s="419" t="s">
        <v>272</v>
      </c>
      <c r="X8" s="420">
        <v>0.5</v>
      </c>
      <c r="Y8" s="400">
        <f t="shared" si="7"/>
        <v>0.25</v>
      </c>
      <c r="Z8" s="423" t="s">
        <v>272</v>
      </c>
      <c r="AA8" s="424">
        <v>0.2</v>
      </c>
      <c r="AB8" s="400">
        <f t="shared" si="8"/>
        <v>0.1</v>
      </c>
      <c r="AC8" s="398"/>
      <c r="AD8" s="399">
        <v>28.9</v>
      </c>
      <c r="AE8" s="400">
        <f t="shared" si="9"/>
        <v>28.9</v>
      </c>
      <c r="AF8" s="398"/>
      <c r="AG8" s="399"/>
      <c r="AH8" s="399"/>
      <c r="AI8" s="400"/>
      <c r="AJ8" s="301"/>
    </row>
    <row r="9" spans="1:36" s="257" customFormat="1" ht="12">
      <c r="A9" s="444">
        <v>37123</v>
      </c>
      <c r="B9" s="398" t="s">
        <v>272</v>
      </c>
      <c r="C9" s="399">
        <v>1.2</v>
      </c>
      <c r="D9" s="400">
        <f t="shared" si="0"/>
        <v>0.6</v>
      </c>
      <c r="E9" s="398" t="s">
        <v>307</v>
      </c>
      <c r="F9" s="399">
        <v>0.2</v>
      </c>
      <c r="G9" s="400">
        <f t="shared" si="1"/>
        <v>0.2</v>
      </c>
      <c r="H9" s="398" t="s">
        <v>307</v>
      </c>
      <c r="I9" s="399">
        <v>0.7</v>
      </c>
      <c r="J9" s="400">
        <f t="shared" si="2"/>
        <v>0.7</v>
      </c>
      <c r="K9" s="398" t="s">
        <v>307</v>
      </c>
      <c r="L9" s="399">
        <v>10.8</v>
      </c>
      <c r="M9" s="400">
        <f t="shared" si="3"/>
        <v>10.8</v>
      </c>
      <c r="N9" s="398" t="s">
        <v>307</v>
      </c>
      <c r="O9" s="399">
        <v>2.3</v>
      </c>
      <c r="P9" s="400">
        <f t="shared" si="4"/>
        <v>2.3</v>
      </c>
      <c r="Q9" s="398" t="s">
        <v>307</v>
      </c>
      <c r="R9" s="414">
        <v>0.012</v>
      </c>
      <c r="S9" s="400">
        <f t="shared" si="5"/>
        <v>0.012</v>
      </c>
      <c r="T9" s="398" t="s">
        <v>307</v>
      </c>
      <c r="U9" s="399">
        <v>3.1</v>
      </c>
      <c r="V9" s="400">
        <f t="shared" si="6"/>
        <v>3.1</v>
      </c>
      <c r="W9" s="419" t="s">
        <v>272</v>
      </c>
      <c r="X9" s="420">
        <v>0.5</v>
      </c>
      <c r="Y9" s="400">
        <f t="shared" si="7"/>
        <v>0.25</v>
      </c>
      <c r="Z9" s="423" t="s">
        <v>272</v>
      </c>
      <c r="AA9" s="424">
        <v>0.2</v>
      </c>
      <c r="AB9" s="400">
        <f t="shared" si="8"/>
        <v>0.1</v>
      </c>
      <c r="AC9" s="398" t="s">
        <v>307</v>
      </c>
      <c r="AD9" s="399">
        <v>27.6</v>
      </c>
      <c r="AE9" s="400">
        <f t="shared" si="9"/>
        <v>27.6</v>
      </c>
      <c r="AF9" s="427">
        <v>37119</v>
      </c>
      <c r="AG9" s="399" t="s">
        <v>272</v>
      </c>
      <c r="AH9" s="399">
        <v>10</v>
      </c>
      <c r="AI9" s="400">
        <f t="shared" si="10"/>
        <v>5</v>
      </c>
      <c r="AJ9" s="301"/>
    </row>
    <row r="10" spans="1:36" s="257" customFormat="1" ht="12">
      <c r="A10" s="444">
        <v>37150</v>
      </c>
      <c r="B10" s="398" t="s">
        <v>307</v>
      </c>
      <c r="C10" s="399">
        <v>3.9</v>
      </c>
      <c r="D10" s="400">
        <f t="shared" si="0"/>
        <v>3.9</v>
      </c>
      <c r="E10" s="398" t="s">
        <v>307</v>
      </c>
      <c r="F10" s="399">
        <v>0.13</v>
      </c>
      <c r="G10" s="400">
        <f t="shared" si="1"/>
        <v>0.13</v>
      </c>
      <c r="H10" s="398" t="s">
        <v>272</v>
      </c>
      <c r="I10" s="399">
        <v>0.6</v>
      </c>
      <c r="J10" s="400">
        <f t="shared" si="2"/>
        <v>0.3</v>
      </c>
      <c r="K10" s="398" t="s">
        <v>307</v>
      </c>
      <c r="L10" s="399">
        <v>9.6</v>
      </c>
      <c r="M10" s="400">
        <f t="shared" si="3"/>
        <v>9.6</v>
      </c>
      <c r="N10" s="398" t="s">
        <v>307</v>
      </c>
      <c r="O10" s="399">
        <v>2</v>
      </c>
      <c r="P10" s="400">
        <f t="shared" si="4"/>
        <v>2</v>
      </c>
      <c r="Q10" s="398" t="s">
        <v>307</v>
      </c>
      <c r="R10" s="414">
        <v>0.015</v>
      </c>
      <c r="S10" s="400">
        <f t="shared" si="5"/>
        <v>0.015</v>
      </c>
      <c r="T10" s="398" t="s">
        <v>307</v>
      </c>
      <c r="U10" s="399">
        <v>1.6</v>
      </c>
      <c r="V10" s="400">
        <f t="shared" si="6"/>
        <v>1.6</v>
      </c>
      <c r="W10" s="419" t="s">
        <v>307</v>
      </c>
      <c r="X10" s="420">
        <v>0.68</v>
      </c>
      <c r="Y10" s="400">
        <f t="shared" si="7"/>
        <v>0.68</v>
      </c>
      <c r="Z10" s="398" t="s">
        <v>272</v>
      </c>
      <c r="AA10" s="399">
        <v>0.2</v>
      </c>
      <c r="AB10" s="400">
        <f t="shared" si="8"/>
        <v>0.1</v>
      </c>
      <c r="AC10" s="398" t="s">
        <v>307</v>
      </c>
      <c r="AD10" s="399">
        <v>24.7</v>
      </c>
      <c r="AE10" s="400">
        <f t="shared" si="9"/>
        <v>24.7</v>
      </c>
      <c r="AF10" s="398"/>
      <c r="AG10" s="399"/>
      <c r="AH10" s="399"/>
      <c r="AI10" s="400">
        <f t="shared" si="10"/>
      </c>
      <c r="AJ10" s="301"/>
    </row>
    <row r="11" spans="1:35" s="257" customFormat="1" ht="12">
      <c r="A11" s="444">
        <v>37185</v>
      </c>
      <c r="B11" s="398" t="s">
        <v>307</v>
      </c>
      <c r="C11" s="399">
        <v>1.2</v>
      </c>
      <c r="D11" s="400">
        <f t="shared" si="0"/>
        <v>1.2</v>
      </c>
      <c r="E11" s="398" t="s">
        <v>307</v>
      </c>
      <c r="F11" s="399">
        <v>0.15</v>
      </c>
      <c r="G11" s="400">
        <f t="shared" si="1"/>
        <v>0.15</v>
      </c>
      <c r="H11" s="398" t="s">
        <v>307</v>
      </c>
      <c r="I11" s="399">
        <v>0.8</v>
      </c>
      <c r="J11" s="400">
        <f t="shared" si="2"/>
        <v>0.8</v>
      </c>
      <c r="K11" s="398" t="s">
        <v>307</v>
      </c>
      <c r="L11" s="399">
        <v>9.7</v>
      </c>
      <c r="M11" s="400">
        <f t="shared" si="3"/>
        <v>9.7</v>
      </c>
      <c r="N11" s="398" t="s">
        <v>307</v>
      </c>
      <c r="O11" s="399">
        <v>1.7</v>
      </c>
      <c r="P11" s="400">
        <f t="shared" si="4"/>
        <v>1.7</v>
      </c>
      <c r="Q11" s="398" t="s">
        <v>307</v>
      </c>
      <c r="R11" s="414">
        <v>0.017</v>
      </c>
      <c r="S11" s="400">
        <f t="shared" si="5"/>
        <v>0.017</v>
      </c>
      <c r="T11" s="398" t="s">
        <v>307</v>
      </c>
      <c r="U11" s="399">
        <v>1.6</v>
      </c>
      <c r="V11" s="400">
        <f t="shared" si="6"/>
        <v>1.6</v>
      </c>
      <c r="W11" s="419"/>
      <c r="X11" s="420">
        <v>0.68</v>
      </c>
      <c r="Y11" s="400">
        <f t="shared" si="7"/>
        <v>0.68</v>
      </c>
      <c r="Z11" s="398" t="s">
        <v>272</v>
      </c>
      <c r="AA11" s="399">
        <v>0.2</v>
      </c>
      <c r="AB11" s="400">
        <f t="shared" si="8"/>
        <v>0.1</v>
      </c>
      <c r="AC11" s="398" t="s">
        <v>307</v>
      </c>
      <c r="AD11" s="399">
        <v>26</v>
      </c>
      <c r="AE11" s="400">
        <f t="shared" si="9"/>
        <v>26</v>
      </c>
      <c r="AF11" s="398"/>
      <c r="AG11" s="399"/>
      <c r="AH11" s="399"/>
      <c r="AI11" s="400">
        <f t="shared" si="10"/>
      </c>
    </row>
    <row r="12" spans="1:36" s="257" customFormat="1" ht="12">
      <c r="A12" s="444">
        <v>37215</v>
      </c>
      <c r="B12" s="398"/>
      <c r="C12" s="399">
        <v>3.2</v>
      </c>
      <c r="D12" s="400">
        <f t="shared" si="0"/>
        <v>3.2</v>
      </c>
      <c r="E12" s="398" t="s">
        <v>307</v>
      </c>
      <c r="F12" s="399">
        <v>0.26</v>
      </c>
      <c r="G12" s="400">
        <f t="shared" si="1"/>
        <v>0.26</v>
      </c>
      <c r="H12" s="398" t="s">
        <v>272</v>
      </c>
      <c r="I12" s="399">
        <v>0.6</v>
      </c>
      <c r="J12" s="400">
        <f t="shared" si="2"/>
        <v>0.3</v>
      </c>
      <c r="K12" s="398" t="s">
        <v>307</v>
      </c>
      <c r="L12" s="399">
        <v>11.6</v>
      </c>
      <c r="M12" s="400">
        <f t="shared" si="3"/>
        <v>11.6</v>
      </c>
      <c r="N12" s="398"/>
      <c r="O12" s="399">
        <v>2.5</v>
      </c>
      <c r="P12" s="400">
        <f t="shared" si="4"/>
        <v>2.5</v>
      </c>
      <c r="Q12" s="398" t="s">
        <v>307</v>
      </c>
      <c r="R12" s="414">
        <v>0.022</v>
      </c>
      <c r="S12" s="400">
        <f t="shared" si="5"/>
        <v>0.022</v>
      </c>
      <c r="T12" s="398"/>
      <c r="U12" s="399">
        <v>1.3</v>
      </c>
      <c r="V12" s="400">
        <f t="shared" si="6"/>
        <v>1.3</v>
      </c>
      <c r="W12" s="419" t="s">
        <v>272</v>
      </c>
      <c r="X12" s="420">
        <v>0.5</v>
      </c>
      <c r="Y12" s="400">
        <f t="shared" si="7"/>
        <v>0.25</v>
      </c>
      <c r="Z12" s="398" t="s">
        <v>272</v>
      </c>
      <c r="AA12" s="399">
        <v>0.2</v>
      </c>
      <c r="AB12" s="400">
        <f t="shared" si="8"/>
        <v>0.1</v>
      </c>
      <c r="AC12" s="398" t="s">
        <v>307</v>
      </c>
      <c r="AD12" s="399">
        <v>29</v>
      </c>
      <c r="AE12" s="400">
        <f t="shared" si="9"/>
        <v>29</v>
      </c>
      <c r="AF12" s="398"/>
      <c r="AG12" s="399"/>
      <c r="AH12" s="399"/>
      <c r="AI12" s="400">
        <f t="shared" si="10"/>
      </c>
      <c r="AJ12" s="301"/>
    </row>
    <row r="13" spans="1:35" s="257" customFormat="1" ht="12">
      <c r="A13" s="444">
        <v>37245</v>
      </c>
      <c r="B13" s="398"/>
      <c r="C13" s="399">
        <v>2.7409</v>
      </c>
      <c r="D13" s="400">
        <f t="shared" si="0"/>
        <v>2.7409</v>
      </c>
      <c r="E13" s="398" t="s">
        <v>307</v>
      </c>
      <c r="F13" s="399">
        <v>0.1639</v>
      </c>
      <c r="G13" s="400">
        <f t="shared" si="1"/>
        <v>0.1639</v>
      </c>
      <c r="H13" s="398"/>
      <c r="I13" s="399">
        <v>0.609</v>
      </c>
      <c r="J13" s="400">
        <f t="shared" si="2"/>
        <v>0.609</v>
      </c>
      <c r="K13" s="398" t="s">
        <v>307</v>
      </c>
      <c r="L13" s="399">
        <v>8.8493</v>
      </c>
      <c r="M13" s="400">
        <f t="shared" si="3"/>
        <v>8.8493</v>
      </c>
      <c r="N13" s="398"/>
      <c r="O13" s="399">
        <v>1.7843</v>
      </c>
      <c r="P13" s="400">
        <f t="shared" si="4"/>
        <v>1.7843</v>
      </c>
      <c r="Q13" s="398" t="s">
        <v>307</v>
      </c>
      <c r="R13" s="414">
        <v>0.026</v>
      </c>
      <c r="S13" s="400">
        <f t="shared" si="5"/>
        <v>0.026</v>
      </c>
      <c r="T13" s="398"/>
      <c r="U13" s="399">
        <v>2.5901</v>
      </c>
      <c r="V13" s="400">
        <f t="shared" si="6"/>
        <v>2.5901</v>
      </c>
      <c r="W13" s="419" t="s">
        <v>272</v>
      </c>
      <c r="X13" s="420">
        <v>0.5</v>
      </c>
      <c r="Y13" s="400">
        <f t="shared" si="7"/>
        <v>0.25</v>
      </c>
      <c r="Z13" s="398" t="s">
        <v>272</v>
      </c>
      <c r="AA13" s="399">
        <v>0.201</v>
      </c>
      <c r="AB13" s="400">
        <f t="shared" si="8"/>
        <v>0.1005</v>
      </c>
      <c r="AC13" s="398" t="s">
        <v>307</v>
      </c>
      <c r="AD13" s="399">
        <v>21.0545</v>
      </c>
      <c r="AE13" s="400">
        <f t="shared" si="9"/>
        <v>21.0545</v>
      </c>
      <c r="AF13" s="427">
        <v>37243</v>
      </c>
      <c r="AG13" s="399" t="s">
        <v>272</v>
      </c>
      <c r="AH13" s="399">
        <v>5</v>
      </c>
      <c r="AI13" s="400">
        <f t="shared" si="10"/>
        <v>2.5</v>
      </c>
    </row>
    <row r="14" spans="1:35" s="257" customFormat="1" ht="12">
      <c r="A14" s="444">
        <v>37269</v>
      </c>
      <c r="B14" s="398" t="s">
        <v>307</v>
      </c>
      <c r="C14" s="399">
        <v>3.1</v>
      </c>
      <c r="D14" s="400">
        <f t="shared" si="0"/>
        <v>3.1</v>
      </c>
      <c r="E14" s="398" t="s">
        <v>307</v>
      </c>
      <c r="F14" s="399">
        <v>0.18</v>
      </c>
      <c r="G14" s="400">
        <f t="shared" si="1"/>
        <v>0.18</v>
      </c>
      <c r="H14" s="398" t="s">
        <v>272</v>
      </c>
      <c r="I14" s="399">
        <v>0.6</v>
      </c>
      <c r="J14" s="400">
        <f t="shared" si="2"/>
        <v>0.3</v>
      </c>
      <c r="K14" s="398" t="s">
        <v>307</v>
      </c>
      <c r="L14" s="399">
        <v>9.8</v>
      </c>
      <c r="M14" s="400">
        <f t="shared" si="3"/>
        <v>9.8</v>
      </c>
      <c r="N14" s="398" t="s">
        <v>307</v>
      </c>
      <c r="O14" s="399">
        <v>1.4</v>
      </c>
      <c r="P14" s="400">
        <f t="shared" si="4"/>
        <v>1.4</v>
      </c>
      <c r="Q14" s="398" t="s">
        <v>307</v>
      </c>
      <c r="R14" s="414">
        <v>0.013</v>
      </c>
      <c r="S14" s="400">
        <f t="shared" si="5"/>
        <v>0.013</v>
      </c>
      <c r="T14" s="398" t="s">
        <v>307</v>
      </c>
      <c r="U14" s="399">
        <v>1.9</v>
      </c>
      <c r="V14" s="400">
        <f t="shared" si="6"/>
        <v>1.9</v>
      </c>
      <c r="W14" s="419" t="s">
        <v>272</v>
      </c>
      <c r="X14" s="420">
        <v>0.5</v>
      </c>
      <c r="Y14" s="400">
        <f t="shared" si="7"/>
        <v>0.25</v>
      </c>
      <c r="Z14" s="398" t="s">
        <v>272</v>
      </c>
      <c r="AA14" s="399">
        <v>0.2</v>
      </c>
      <c r="AB14" s="400">
        <f t="shared" si="8"/>
        <v>0.1</v>
      </c>
      <c r="AC14" s="398" t="s">
        <v>307</v>
      </c>
      <c r="AD14" s="399">
        <v>21</v>
      </c>
      <c r="AE14" s="400">
        <f t="shared" si="9"/>
        <v>21</v>
      </c>
      <c r="AF14" s="427"/>
      <c r="AG14" s="399"/>
      <c r="AH14" s="399"/>
      <c r="AI14" s="400">
        <f t="shared" si="10"/>
      </c>
    </row>
    <row r="15" spans="1:35" s="257" customFormat="1" ht="12">
      <c r="A15" s="444">
        <v>37310</v>
      </c>
      <c r="B15" s="398"/>
      <c r="C15" s="399">
        <v>2.2699</v>
      </c>
      <c r="D15" s="400">
        <f t="shared" si="0"/>
        <v>2.2699</v>
      </c>
      <c r="E15" s="398"/>
      <c r="F15" s="399">
        <v>1.0344</v>
      </c>
      <c r="G15" s="400">
        <f t="shared" si="1"/>
        <v>1.0344</v>
      </c>
      <c r="H15" s="398"/>
      <c r="I15" s="399">
        <v>0.609</v>
      </c>
      <c r="J15" s="400">
        <f t="shared" si="2"/>
        <v>0.609</v>
      </c>
      <c r="K15" s="398" t="s">
        <v>307</v>
      </c>
      <c r="L15" s="399">
        <v>10.8122</v>
      </c>
      <c r="M15" s="400">
        <f t="shared" si="3"/>
        <v>10.8122</v>
      </c>
      <c r="N15" s="398"/>
      <c r="O15" s="399">
        <v>1.4911</v>
      </c>
      <c r="P15" s="400">
        <f t="shared" si="4"/>
        <v>1.4911</v>
      </c>
      <c r="Q15" s="398"/>
      <c r="R15" s="399">
        <v>0.017</v>
      </c>
      <c r="S15" s="400">
        <f t="shared" si="5"/>
        <v>0.017</v>
      </c>
      <c r="T15" s="398"/>
      <c r="U15" s="399">
        <v>2.7384</v>
      </c>
      <c r="V15" s="400">
        <f t="shared" si="6"/>
        <v>2.7384</v>
      </c>
      <c r="W15" s="419" t="s">
        <v>272</v>
      </c>
      <c r="X15" s="420">
        <v>0.5</v>
      </c>
      <c r="Y15" s="400">
        <f t="shared" si="7"/>
        <v>0.25</v>
      </c>
      <c r="Z15" s="398" t="s">
        <v>272</v>
      </c>
      <c r="AA15" s="399">
        <v>0.201</v>
      </c>
      <c r="AB15" s="400">
        <f t="shared" si="8"/>
        <v>0.1005</v>
      </c>
      <c r="AC15" s="398" t="s">
        <v>307</v>
      </c>
      <c r="AD15" s="399">
        <v>27.7771</v>
      </c>
      <c r="AE15" s="400">
        <f t="shared" si="9"/>
        <v>27.7771</v>
      </c>
      <c r="AF15" s="427"/>
      <c r="AG15" s="399"/>
      <c r="AH15" s="399"/>
      <c r="AI15" s="400">
        <f t="shared" si="10"/>
      </c>
    </row>
    <row r="16" spans="1:36" s="257" customFormat="1" ht="12">
      <c r="A16" s="444">
        <v>37339</v>
      </c>
      <c r="B16" s="398"/>
      <c r="C16" s="399">
        <v>1.7422</v>
      </c>
      <c r="D16" s="400">
        <f t="shared" si="0"/>
        <v>1.7422</v>
      </c>
      <c r="E16" s="398"/>
      <c r="F16" s="399">
        <v>0.5375</v>
      </c>
      <c r="G16" s="400">
        <f t="shared" si="1"/>
        <v>0.5375</v>
      </c>
      <c r="H16" s="398" t="s">
        <v>272</v>
      </c>
      <c r="I16" s="399">
        <v>0.609</v>
      </c>
      <c r="J16" s="400">
        <f t="shared" si="2"/>
        <v>0.3045</v>
      </c>
      <c r="K16" s="398" t="s">
        <v>307</v>
      </c>
      <c r="L16" s="399">
        <v>8.9379</v>
      </c>
      <c r="M16" s="400">
        <f t="shared" si="3"/>
        <v>8.9379</v>
      </c>
      <c r="N16" s="398" t="s">
        <v>272</v>
      </c>
      <c r="O16" s="399">
        <v>0.989</v>
      </c>
      <c r="P16" s="400">
        <f t="shared" si="4"/>
        <v>0.4945</v>
      </c>
      <c r="Q16" s="398"/>
      <c r="R16" s="399">
        <v>0.0182</v>
      </c>
      <c r="S16" s="400">
        <f t="shared" si="5"/>
        <v>0.0182</v>
      </c>
      <c r="T16" s="398"/>
      <c r="U16" s="399">
        <v>1.6911</v>
      </c>
      <c r="V16" s="400">
        <f t="shared" si="6"/>
        <v>1.6911</v>
      </c>
      <c r="W16" s="419" t="s">
        <v>272</v>
      </c>
      <c r="X16" s="420">
        <v>0.5</v>
      </c>
      <c r="Y16" s="400">
        <f t="shared" si="7"/>
        <v>0.25</v>
      </c>
      <c r="Z16" s="398" t="s">
        <v>272</v>
      </c>
      <c r="AA16" s="399">
        <v>0.201</v>
      </c>
      <c r="AB16" s="400">
        <f t="shared" si="8"/>
        <v>0.1005</v>
      </c>
      <c r="AC16" s="398" t="s">
        <v>307</v>
      </c>
      <c r="AD16" s="399">
        <v>24.9536</v>
      </c>
      <c r="AE16" s="400">
        <f t="shared" si="9"/>
        <v>24.9536</v>
      </c>
      <c r="AF16" s="427">
        <v>37332</v>
      </c>
      <c r="AG16" s="399" t="s">
        <v>272</v>
      </c>
      <c r="AH16" s="399">
        <v>5</v>
      </c>
      <c r="AI16" s="400">
        <f t="shared" si="10"/>
        <v>2.5</v>
      </c>
      <c r="AJ16" s="301"/>
    </row>
    <row r="17" spans="1:36" s="257" customFormat="1" ht="12">
      <c r="A17" s="444">
        <v>37368</v>
      </c>
      <c r="B17" s="398"/>
      <c r="C17" s="399">
        <v>2.771</v>
      </c>
      <c r="D17" s="400">
        <f t="shared" si="0"/>
        <v>2.771</v>
      </c>
      <c r="E17" s="398"/>
      <c r="F17" s="399">
        <v>0.2254</v>
      </c>
      <c r="G17" s="400">
        <f t="shared" si="1"/>
        <v>0.2254</v>
      </c>
      <c r="H17" s="398"/>
      <c r="I17" s="399">
        <v>0.6438</v>
      </c>
      <c r="J17" s="400">
        <f t="shared" si="2"/>
        <v>0.6438</v>
      </c>
      <c r="K17" s="398" t="s">
        <v>307</v>
      </c>
      <c r="L17" s="399">
        <v>12.1124</v>
      </c>
      <c r="M17" s="400">
        <f t="shared" si="3"/>
        <v>12.1124</v>
      </c>
      <c r="N17" s="398"/>
      <c r="O17" s="399">
        <v>1.6353</v>
      </c>
      <c r="P17" s="400">
        <f t="shared" si="4"/>
        <v>1.6353</v>
      </c>
      <c r="Q17" s="398"/>
      <c r="R17" s="399">
        <v>0.0248</v>
      </c>
      <c r="S17" s="400">
        <f t="shared" si="5"/>
        <v>0.0248</v>
      </c>
      <c r="T17" s="398"/>
      <c r="U17" s="399">
        <v>2.4649</v>
      </c>
      <c r="V17" s="400">
        <f t="shared" si="6"/>
        <v>2.4649</v>
      </c>
      <c r="W17" s="419" t="s">
        <v>272</v>
      </c>
      <c r="X17" s="420">
        <v>0.5</v>
      </c>
      <c r="Y17" s="400">
        <f t="shared" si="7"/>
        <v>0.25</v>
      </c>
      <c r="Z17" s="398" t="s">
        <v>272</v>
      </c>
      <c r="AA17" s="399">
        <v>0.201</v>
      </c>
      <c r="AB17" s="400">
        <f t="shared" si="8"/>
        <v>0.1005</v>
      </c>
      <c r="AC17" s="398" t="s">
        <v>307</v>
      </c>
      <c r="AD17" s="399">
        <v>32.524</v>
      </c>
      <c r="AE17" s="400">
        <f t="shared" si="9"/>
        <v>32.524</v>
      </c>
      <c r="AF17" s="427"/>
      <c r="AG17" s="399"/>
      <c r="AH17" s="399"/>
      <c r="AI17" s="400">
        <f t="shared" si="10"/>
      </c>
      <c r="AJ17" s="301"/>
    </row>
    <row r="18" spans="1:36" s="257" customFormat="1" ht="12">
      <c r="A18" s="444">
        <v>37399</v>
      </c>
      <c r="B18" s="398" t="s">
        <v>272</v>
      </c>
      <c r="C18" s="399">
        <v>1.15</v>
      </c>
      <c r="D18" s="400">
        <f t="shared" si="0"/>
        <v>0.575</v>
      </c>
      <c r="E18" s="398"/>
      <c r="F18" s="399">
        <v>0.31</v>
      </c>
      <c r="G18" s="400">
        <f t="shared" si="1"/>
        <v>0.31</v>
      </c>
      <c r="H18" s="398"/>
      <c r="I18" s="399">
        <v>1.68</v>
      </c>
      <c r="J18" s="400">
        <f t="shared" si="2"/>
        <v>1.68</v>
      </c>
      <c r="K18" s="398"/>
      <c r="L18" s="399">
        <v>16.2</v>
      </c>
      <c r="M18" s="400">
        <f t="shared" si="3"/>
        <v>16.2</v>
      </c>
      <c r="N18" s="398"/>
      <c r="O18" s="399">
        <v>5.42</v>
      </c>
      <c r="P18" s="400">
        <f t="shared" si="4"/>
        <v>5.42</v>
      </c>
      <c r="Q18" s="398"/>
      <c r="R18" s="399">
        <v>0.0231</v>
      </c>
      <c r="S18" s="400">
        <f t="shared" si="5"/>
        <v>0.0231</v>
      </c>
      <c r="T18" s="398"/>
      <c r="U18" s="399">
        <v>4.17</v>
      </c>
      <c r="V18" s="400">
        <f t="shared" si="6"/>
        <v>4.17</v>
      </c>
      <c r="W18" s="419" t="s">
        <v>272</v>
      </c>
      <c r="X18" s="420">
        <v>0.5</v>
      </c>
      <c r="Y18" s="400">
        <f t="shared" si="7"/>
        <v>0.25</v>
      </c>
      <c r="Z18" s="398"/>
      <c r="AA18" s="399">
        <v>0.27</v>
      </c>
      <c r="AB18" s="400">
        <f t="shared" si="8"/>
        <v>0.27</v>
      </c>
      <c r="AC18" s="398"/>
      <c r="AD18" s="399">
        <v>67.2</v>
      </c>
      <c r="AE18" s="400">
        <f t="shared" si="9"/>
        <v>67.2</v>
      </c>
      <c r="AF18" s="427"/>
      <c r="AG18" s="399"/>
      <c r="AH18" s="399"/>
      <c r="AI18" s="400">
        <f t="shared" si="10"/>
      </c>
      <c r="AJ18" s="301"/>
    </row>
    <row r="19" spans="1:36" s="257" customFormat="1" ht="12">
      <c r="A19" s="444">
        <v>37416</v>
      </c>
      <c r="B19" s="398" t="s">
        <v>272</v>
      </c>
      <c r="C19" s="399">
        <v>3</v>
      </c>
      <c r="D19" s="400">
        <f t="shared" si="0"/>
        <v>1.5</v>
      </c>
      <c r="E19" s="398"/>
      <c r="F19" s="399">
        <v>0.2598</v>
      </c>
      <c r="G19" s="400">
        <f t="shared" si="1"/>
        <v>0.2598</v>
      </c>
      <c r="H19" s="398" t="s">
        <v>272</v>
      </c>
      <c r="I19" s="399">
        <v>1</v>
      </c>
      <c r="J19" s="400">
        <f t="shared" si="2"/>
        <v>0.5</v>
      </c>
      <c r="K19" s="398"/>
      <c r="L19" s="399">
        <v>9.7439</v>
      </c>
      <c r="M19" s="400">
        <f t="shared" si="3"/>
        <v>9.7439</v>
      </c>
      <c r="N19" s="398"/>
      <c r="O19" s="399">
        <v>3.0722</v>
      </c>
      <c r="P19" s="400">
        <f t="shared" si="4"/>
        <v>3.0722</v>
      </c>
      <c r="Q19" s="398"/>
      <c r="R19" s="414"/>
      <c r="S19" s="400">
        <f t="shared" si="5"/>
      </c>
      <c r="T19" s="398" t="s">
        <v>272</v>
      </c>
      <c r="U19" s="399">
        <v>1</v>
      </c>
      <c r="V19" s="400">
        <f t="shared" si="6"/>
        <v>0.5</v>
      </c>
      <c r="W19" s="419"/>
      <c r="X19" s="420">
        <v>0.9766</v>
      </c>
      <c r="Y19" s="400">
        <f t="shared" si="7"/>
        <v>0.9766</v>
      </c>
      <c r="Z19" s="398" t="s">
        <v>272</v>
      </c>
      <c r="AA19" s="399">
        <v>0.201</v>
      </c>
      <c r="AB19" s="400">
        <f t="shared" si="8"/>
        <v>0.1005</v>
      </c>
      <c r="AC19" s="398"/>
      <c r="AD19" s="399">
        <v>21.3016</v>
      </c>
      <c r="AE19" s="400">
        <f t="shared" si="9"/>
        <v>21.3016</v>
      </c>
      <c r="AF19" s="427">
        <v>37416</v>
      </c>
      <c r="AG19" s="399" t="s">
        <v>272</v>
      </c>
      <c r="AH19" s="399">
        <v>5</v>
      </c>
      <c r="AI19" s="400">
        <f>IF(AH19="","",IF(AG19="&lt;",AH19/2,AH19))</f>
        <v>2.5</v>
      </c>
      <c r="AJ19" s="301"/>
    </row>
    <row r="20" spans="1:36" s="257" customFormat="1" ht="12">
      <c r="A20" s="444">
        <v>37426</v>
      </c>
      <c r="B20" s="398"/>
      <c r="C20" s="399">
        <v>4.1588</v>
      </c>
      <c r="D20" s="400">
        <f t="shared" si="0"/>
        <v>4.1588</v>
      </c>
      <c r="E20" s="398"/>
      <c r="F20" s="399">
        <v>0.2938</v>
      </c>
      <c r="G20" s="400">
        <f t="shared" si="1"/>
        <v>0.2938</v>
      </c>
      <c r="H20" s="398"/>
      <c r="I20" s="399">
        <v>1.8423</v>
      </c>
      <c r="J20" s="400">
        <f t="shared" si="2"/>
        <v>1.8423</v>
      </c>
      <c r="K20" s="398" t="s">
        <v>307</v>
      </c>
      <c r="L20" s="399">
        <v>18.9129</v>
      </c>
      <c r="M20" s="400">
        <f t="shared" si="3"/>
        <v>18.9129</v>
      </c>
      <c r="N20" s="398"/>
      <c r="O20" s="399">
        <v>10.4962</v>
      </c>
      <c r="P20" s="400">
        <f t="shared" si="4"/>
        <v>10.4962</v>
      </c>
      <c r="Q20" s="398"/>
      <c r="R20" s="415">
        <v>0.0591</v>
      </c>
      <c r="S20" s="400">
        <f t="shared" si="5"/>
        <v>0.0591</v>
      </c>
      <c r="T20" s="398"/>
      <c r="U20" s="399">
        <v>1.8473</v>
      </c>
      <c r="V20" s="400">
        <f t="shared" si="6"/>
        <v>1.8473</v>
      </c>
      <c r="W20" s="419"/>
      <c r="X20" s="420">
        <v>1.0742</v>
      </c>
      <c r="Y20" s="400">
        <f t="shared" si="7"/>
        <v>1.0742</v>
      </c>
      <c r="Z20" s="398"/>
      <c r="AA20" s="399">
        <v>0.215</v>
      </c>
      <c r="AB20" s="400">
        <f t="shared" si="8"/>
        <v>0.215</v>
      </c>
      <c r="AC20" s="398" t="s">
        <v>307</v>
      </c>
      <c r="AD20" s="399">
        <v>43.2957</v>
      </c>
      <c r="AE20" s="400">
        <f t="shared" si="9"/>
        <v>43.2957</v>
      </c>
      <c r="AF20" s="427"/>
      <c r="AG20" s="399"/>
      <c r="AH20" s="399"/>
      <c r="AI20" s="400"/>
      <c r="AJ20" s="301"/>
    </row>
    <row r="21" spans="1:36" s="257" customFormat="1" ht="12">
      <c r="A21" s="444">
        <v>37460</v>
      </c>
      <c r="B21" s="398"/>
      <c r="C21" s="399">
        <v>1.6062</v>
      </c>
      <c r="D21" s="400">
        <f t="shared" si="0"/>
        <v>1.6062</v>
      </c>
      <c r="E21" s="398"/>
      <c r="F21" s="399">
        <v>0.171</v>
      </c>
      <c r="G21" s="400">
        <f t="shared" si="1"/>
        <v>0.171</v>
      </c>
      <c r="H21" s="398"/>
      <c r="I21" s="399">
        <v>0.7855</v>
      </c>
      <c r="J21" s="400">
        <f t="shared" si="2"/>
        <v>0.7855</v>
      </c>
      <c r="K21" s="398" t="s">
        <v>307</v>
      </c>
      <c r="L21" s="399">
        <v>16.7668</v>
      </c>
      <c r="M21" s="400">
        <f t="shared" si="3"/>
        <v>16.7668</v>
      </c>
      <c r="N21" s="398"/>
      <c r="O21" s="399">
        <v>3.6987</v>
      </c>
      <c r="P21" s="400">
        <f t="shared" si="4"/>
        <v>3.6987</v>
      </c>
      <c r="Q21" s="398"/>
      <c r="R21" s="414">
        <v>0.042</v>
      </c>
      <c r="S21" s="400">
        <f t="shared" si="5"/>
        <v>0.042</v>
      </c>
      <c r="T21" s="398"/>
      <c r="U21" s="399">
        <v>3.1641</v>
      </c>
      <c r="V21" s="400">
        <f t="shared" si="6"/>
        <v>3.1641</v>
      </c>
      <c r="W21" s="419" t="s">
        <v>272</v>
      </c>
      <c r="X21" s="420">
        <v>0.5</v>
      </c>
      <c r="Y21" s="400">
        <f t="shared" si="7"/>
        <v>0.25</v>
      </c>
      <c r="Z21" s="398"/>
      <c r="AA21" s="399">
        <v>0.201</v>
      </c>
      <c r="AB21" s="400">
        <f t="shared" si="8"/>
        <v>0.201</v>
      </c>
      <c r="AC21" s="398" t="s">
        <v>307</v>
      </c>
      <c r="AD21" s="399">
        <v>45.6775</v>
      </c>
      <c r="AE21" s="400">
        <f t="shared" si="9"/>
        <v>45.6775</v>
      </c>
      <c r="AF21" s="427"/>
      <c r="AG21" s="399"/>
      <c r="AH21" s="399"/>
      <c r="AI21" s="400">
        <f t="shared" si="10"/>
      </c>
      <c r="AJ21" s="301"/>
    </row>
    <row r="22" spans="1:36" s="257" customFormat="1" ht="12">
      <c r="A22" s="444">
        <v>37491</v>
      </c>
      <c r="B22" s="398" t="s">
        <v>272</v>
      </c>
      <c r="C22" s="399">
        <v>1.152</v>
      </c>
      <c r="D22" s="400">
        <f t="shared" si="0"/>
        <v>0.576</v>
      </c>
      <c r="E22" s="398"/>
      <c r="F22" s="399">
        <v>0.4402</v>
      </c>
      <c r="G22" s="400">
        <f t="shared" si="1"/>
        <v>0.4402</v>
      </c>
      <c r="H22" s="398"/>
      <c r="I22" s="399">
        <v>1.1708</v>
      </c>
      <c r="J22" s="400">
        <f t="shared" si="2"/>
        <v>1.1708</v>
      </c>
      <c r="K22" s="398" t="s">
        <v>307</v>
      </c>
      <c r="L22" s="399">
        <v>21.7698</v>
      </c>
      <c r="M22" s="400">
        <f t="shared" si="3"/>
        <v>21.7698</v>
      </c>
      <c r="N22" s="398"/>
      <c r="O22" s="399">
        <v>7.362</v>
      </c>
      <c r="P22" s="400">
        <f t="shared" si="4"/>
        <v>7.362</v>
      </c>
      <c r="Q22" s="398"/>
      <c r="R22" s="414">
        <v>0.0341</v>
      </c>
      <c r="S22" s="400">
        <f t="shared" si="5"/>
        <v>0.0341</v>
      </c>
      <c r="T22" s="398"/>
      <c r="U22" s="399">
        <v>2.9522</v>
      </c>
      <c r="V22" s="400">
        <f t="shared" si="6"/>
        <v>2.9522</v>
      </c>
      <c r="W22" s="419" t="s">
        <v>272</v>
      </c>
      <c r="X22" s="420">
        <v>0.5</v>
      </c>
      <c r="Y22" s="400">
        <f t="shared" si="7"/>
        <v>0.25</v>
      </c>
      <c r="Z22" s="398" t="s">
        <v>272</v>
      </c>
      <c r="AA22" s="399">
        <v>0.201</v>
      </c>
      <c r="AB22" s="400">
        <f t="shared" si="8"/>
        <v>0.1005</v>
      </c>
      <c r="AC22" s="398" t="s">
        <v>307</v>
      </c>
      <c r="AD22" s="399">
        <v>46.9146</v>
      </c>
      <c r="AE22" s="400">
        <f t="shared" si="9"/>
        <v>46.9146</v>
      </c>
      <c r="AF22" s="427"/>
      <c r="AG22" s="399"/>
      <c r="AH22" s="399"/>
      <c r="AI22" s="400">
        <f t="shared" si="10"/>
      </c>
      <c r="AJ22" s="301"/>
    </row>
    <row r="23" spans="1:36" s="257" customFormat="1" ht="12">
      <c r="A23" s="444">
        <v>37520</v>
      </c>
      <c r="B23" s="398" t="s">
        <v>272</v>
      </c>
      <c r="C23" s="399">
        <v>1.152</v>
      </c>
      <c r="D23" s="400">
        <f t="shared" si="0"/>
        <v>0.576</v>
      </c>
      <c r="E23" s="398" t="s">
        <v>272</v>
      </c>
      <c r="F23" s="399">
        <v>0.111</v>
      </c>
      <c r="G23" s="400">
        <f t="shared" si="1"/>
        <v>0.0555</v>
      </c>
      <c r="H23" s="398" t="s">
        <v>272</v>
      </c>
      <c r="I23" s="399">
        <v>0.609</v>
      </c>
      <c r="J23" s="400">
        <f t="shared" si="2"/>
        <v>0.3045</v>
      </c>
      <c r="K23" s="398" t="s">
        <v>307</v>
      </c>
      <c r="L23" s="399">
        <v>17.7077</v>
      </c>
      <c r="M23" s="400">
        <f t="shared" si="3"/>
        <v>17.7077</v>
      </c>
      <c r="N23" s="398"/>
      <c r="O23" s="399">
        <v>13.8823</v>
      </c>
      <c r="P23" s="400">
        <f t="shared" si="4"/>
        <v>13.8823</v>
      </c>
      <c r="Q23" s="398"/>
      <c r="R23" s="414">
        <v>0.032</v>
      </c>
      <c r="S23" s="400">
        <f t="shared" si="5"/>
        <v>0.032</v>
      </c>
      <c r="T23" s="398"/>
      <c r="U23" s="399">
        <v>3.4259</v>
      </c>
      <c r="V23" s="400">
        <f t="shared" si="6"/>
        <v>3.4259</v>
      </c>
      <c r="W23" s="419" t="s">
        <v>272</v>
      </c>
      <c r="X23" s="420">
        <v>0.5</v>
      </c>
      <c r="Y23" s="400">
        <f t="shared" si="7"/>
        <v>0.25</v>
      </c>
      <c r="Z23" s="398" t="s">
        <v>272</v>
      </c>
      <c r="AA23" s="399">
        <v>0.201</v>
      </c>
      <c r="AB23" s="400">
        <f t="shared" si="8"/>
        <v>0.1005</v>
      </c>
      <c r="AC23" s="398" t="s">
        <v>307</v>
      </c>
      <c r="AD23" s="399">
        <v>38.374</v>
      </c>
      <c r="AE23" s="400">
        <f t="shared" si="9"/>
        <v>38.374</v>
      </c>
      <c r="AF23" s="427">
        <v>37521</v>
      </c>
      <c r="AG23" s="399" t="s">
        <v>272</v>
      </c>
      <c r="AH23" s="399">
        <v>5</v>
      </c>
      <c r="AI23" s="400">
        <f t="shared" si="10"/>
        <v>2.5</v>
      </c>
      <c r="AJ23" s="301"/>
    </row>
    <row r="24" spans="1:36" s="257" customFormat="1" ht="12">
      <c r="A24" s="444">
        <v>37521</v>
      </c>
      <c r="B24" s="398"/>
      <c r="C24" s="399">
        <v>1.3521</v>
      </c>
      <c r="D24" s="400">
        <f t="shared" si="0"/>
        <v>1.3521</v>
      </c>
      <c r="E24" s="398" t="s">
        <v>272</v>
      </c>
      <c r="F24" s="399">
        <v>0.111</v>
      </c>
      <c r="G24" s="400">
        <f t="shared" si="1"/>
        <v>0.0555</v>
      </c>
      <c r="H24" s="398"/>
      <c r="I24" s="399">
        <v>0.757</v>
      </c>
      <c r="J24" s="400">
        <f t="shared" si="2"/>
        <v>0.757</v>
      </c>
      <c r="K24" s="398"/>
      <c r="L24" s="399">
        <v>11.4663</v>
      </c>
      <c r="M24" s="400">
        <f t="shared" si="3"/>
        <v>11.4663</v>
      </c>
      <c r="N24" s="398"/>
      <c r="O24" s="399">
        <v>6.4759</v>
      </c>
      <c r="P24" s="400">
        <f t="shared" si="4"/>
        <v>6.4759</v>
      </c>
      <c r="Q24" s="398"/>
      <c r="R24" s="414"/>
      <c r="S24" s="400">
        <f t="shared" si="5"/>
      </c>
      <c r="T24" s="398"/>
      <c r="U24" s="399">
        <v>1.8881</v>
      </c>
      <c r="V24" s="400">
        <f t="shared" si="6"/>
        <v>1.8881</v>
      </c>
      <c r="W24" s="419" t="s">
        <v>272</v>
      </c>
      <c r="X24" s="420">
        <v>0.5</v>
      </c>
      <c r="Y24" s="400">
        <f t="shared" si="7"/>
        <v>0.25</v>
      </c>
      <c r="Z24" s="398"/>
      <c r="AA24" s="399">
        <v>0.3055</v>
      </c>
      <c r="AB24" s="400">
        <f t="shared" si="8"/>
        <v>0.3055</v>
      </c>
      <c r="AC24" s="398"/>
      <c r="AD24" s="399">
        <v>27.8442</v>
      </c>
      <c r="AE24" s="400">
        <f t="shared" si="9"/>
        <v>27.8442</v>
      </c>
      <c r="AF24" s="427"/>
      <c r="AG24" s="399"/>
      <c r="AH24" s="399"/>
      <c r="AI24" s="400"/>
      <c r="AJ24" s="301"/>
    </row>
    <row r="25" spans="1:36" s="257" customFormat="1" ht="12">
      <c r="A25" s="444">
        <v>37549</v>
      </c>
      <c r="B25" s="398" t="s">
        <v>272</v>
      </c>
      <c r="C25" s="399">
        <v>1.152</v>
      </c>
      <c r="D25" s="400">
        <f t="shared" si="0"/>
        <v>0.576</v>
      </c>
      <c r="E25" s="398"/>
      <c r="F25" s="399">
        <v>0.1995</v>
      </c>
      <c r="G25" s="400">
        <f t="shared" si="1"/>
        <v>0.1995</v>
      </c>
      <c r="H25" s="398"/>
      <c r="I25" s="399">
        <v>1.1058</v>
      </c>
      <c r="J25" s="400">
        <f t="shared" si="2"/>
        <v>1.1058</v>
      </c>
      <c r="K25" s="398" t="s">
        <v>307</v>
      </c>
      <c r="L25" s="399">
        <v>14.1575</v>
      </c>
      <c r="M25" s="400">
        <f t="shared" si="3"/>
        <v>14.1575</v>
      </c>
      <c r="N25" s="398"/>
      <c r="O25" s="399">
        <v>8.5779</v>
      </c>
      <c r="P25" s="400">
        <f t="shared" si="4"/>
        <v>8.5779</v>
      </c>
      <c r="Q25" s="398"/>
      <c r="R25" s="414">
        <v>0.0346</v>
      </c>
      <c r="S25" s="400">
        <f t="shared" si="5"/>
        <v>0.0346</v>
      </c>
      <c r="T25" s="398"/>
      <c r="U25" s="399">
        <v>5.2294</v>
      </c>
      <c r="V25" s="400">
        <f t="shared" si="6"/>
        <v>5.2294</v>
      </c>
      <c r="W25" s="419" t="s">
        <v>272</v>
      </c>
      <c r="X25" s="420">
        <v>0.5</v>
      </c>
      <c r="Y25" s="400">
        <f t="shared" si="7"/>
        <v>0.25</v>
      </c>
      <c r="Z25" s="398" t="s">
        <v>272</v>
      </c>
      <c r="AA25" s="399">
        <v>0.201</v>
      </c>
      <c r="AB25" s="400">
        <f t="shared" si="8"/>
        <v>0.1005</v>
      </c>
      <c r="AC25" s="398" t="s">
        <v>307</v>
      </c>
      <c r="AD25" s="399">
        <v>23.712</v>
      </c>
      <c r="AE25" s="400">
        <f t="shared" si="9"/>
        <v>23.712</v>
      </c>
      <c r="AF25" s="427"/>
      <c r="AG25" s="399"/>
      <c r="AH25" s="399"/>
      <c r="AI25" s="400">
        <f t="shared" si="10"/>
      </c>
      <c r="AJ25" s="301"/>
    </row>
    <row r="26" spans="1:36" s="257" customFormat="1" ht="12">
      <c r="A26" s="444">
        <v>37565</v>
      </c>
      <c r="B26" s="398"/>
      <c r="C26" s="399">
        <v>2.8939</v>
      </c>
      <c r="D26" s="400">
        <f t="shared" si="0"/>
        <v>2.8939</v>
      </c>
      <c r="E26" s="398" t="s">
        <v>272</v>
      </c>
      <c r="F26" s="399">
        <v>0.111</v>
      </c>
      <c r="G26" s="400">
        <f t="shared" si="1"/>
        <v>0.0555</v>
      </c>
      <c r="H26" s="398" t="s">
        <v>272</v>
      </c>
      <c r="I26" s="399">
        <v>0.609</v>
      </c>
      <c r="J26" s="400">
        <f t="shared" si="2"/>
        <v>0.3045</v>
      </c>
      <c r="K26" s="398" t="s">
        <v>307</v>
      </c>
      <c r="L26" s="399">
        <v>9.0261</v>
      </c>
      <c r="M26" s="400">
        <f t="shared" si="3"/>
        <v>9.0261</v>
      </c>
      <c r="N26" s="398"/>
      <c r="O26" s="399">
        <v>3.1335</v>
      </c>
      <c r="P26" s="400">
        <f t="shared" si="4"/>
        <v>3.1335</v>
      </c>
      <c r="Q26" s="398"/>
      <c r="R26" s="414"/>
      <c r="S26" s="400">
        <f t="shared" si="5"/>
      </c>
      <c r="T26" s="398"/>
      <c r="U26" s="399">
        <v>2.0517</v>
      </c>
      <c r="V26" s="400">
        <f t="shared" si="6"/>
        <v>2.0517</v>
      </c>
      <c r="W26" s="419" t="s">
        <v>272</v>
      </c>
      <c r="X26" s="420">
        <v>0.5</v>
      </c>
      <c r="Y26" s="400">
        <f t="shared" si="7"/>
        <v>0.25</v>
      </c>
      <c r="Z26" s="398" t="s">
        <v>272</v>
      </c>
      <c r="AA26" s="399">
        <v>0.201</v>
      </c>
      <c r="AB26" s="400">
        <f t="shared" si="8"/>
        <v>0.1005</v>
      </c>
      <c r="AC26" s="398" t="s">
        <v>307</v>
      </c>
      <c r="AD26" s="399">
        <v>23.3796</v>
      </c>
      <c r="AE26" s="400">
        <f t="shared" si="9"/>
        <v>23.3796</v>
      </c>
      <c r="AF26" s="427"/>
      <c r="AG26" s="399"/>
      <c r="AH26" s="399"/>
      <c r="AI26" s="400">
        <f t="shared" si="10"/>
      </c>
      <c r="AJ26" s="301"/>
    </row>
    <row r="27" spans="1:36" s="257" customFormat="1" ht="12">
      <c r="A27" s="444">
        <v>37633</v>
      </c>
      <c r="B27" s="398"/>
      <c r="C27" s="399">
        <v>1.6025</v>
      </c>
      <c r="D27" s="400">
        <f t="shared" si="0"/>
        <v>1.6025</v>
      </c>
      <c r="E27" s="398"/>
      <c r="F27" s="399">
        <v>0.1766</v>
      </c>
      <c r="G27" s="400">
        <f t="shared" si="1"/>
        <v>0.1766</v>
      </c>
      <c r="H27" s="398" t="s">
        <v>272</v>
      </c>
      <c r="I27" s="399">
        <v>0.609</v>
      </c>
      <c r="J27" s="400">
        <f t="shared" si="2"/>
        <v>0.3045</v>
      </c>
      <c r="K27" s="398" t="s">
        <v>307</v>
      </c>
      <c r="L27" s="399">
        <v>11.2282</v>
      </c>
      <c r="M27" s="400">
        <f t="shared" si="3"/>
        <v>11.2282</v>
      </c>
      <c r="N27" s="398"/>
      <c r="O27" s="399">
        <v>5.2038</v>
      </c>
      <c r="P27" s="400">
        <f t="shared" si="4"/>
        <v>5.2038</v>
      </c>
      <c r="Q27" s="398"/>
      <c r="R27" s="399"/>
      <c r="S27" s="400">
        <f t="shared" si="5"/>
      </c>
      <c r="T27" s="398"/>
      <c r="U27" s="399">
        <v>1.0749</v>
      </c>
      <c r="V27" s="400">
        <f t="shared" si="6"/>
        <v>1.0749</v>
      </c>
      <c r="W27" s="419" t="s">
        <v>272</v>
      </c>
      <c r="X27" s="420">
        <v>0.5</v>
      </c>
      <c r="Y27" s="400">
        <f t="shared" si="7"/>
        <v>0.25</v>
      </c>
      <c r="Z27" s="398" t="s">
        <v>272</v>
      </c>
      <c r="AA27" s="399">
        <v>0.201</v>
      </c>
      <c r="AB27" s="400">
        <f t="shared" si="8"/>
        <v>0.1005</v>
      </c>
      <c r="AC27" s="398" t="s">
        <v>307</v>
      </c>
      <c r="AD27" s="399">
        <v>31.1221</v>
      </c>
      <c r="AE27" s="400">
        <f t="shared" si="9"/>
        <v>31.1221</v>
      </c>
      <c r="AF27" s="398"/>
      <c r="AG27" s="399"/>
      <c r="AH27" s="399"/>
      <c r="AI27" s="400">
        <f t="shared" si="10"/>
      </c>
      <c r="AJ27" s="301"/>
    </row>
    <row r="28" spans="1:36" s="257" customFormat="1" ht="12">
      <c r="A28" s="444">
        <v>37647</v>
      </c>
      <c r="B28" s="398"/>
      <c r="C28" s="399">
        <v>3.0539</v>
      </c>
      <c r="D28" s="400">
        <f t="shared" si="0"/>
        <v>3.0539</v>
      </c>
      <c r="E28" s="398" t="s">
        <v>272</v>
      </c>
      <c r="F28" s="399">
        <v>0.111</v>
      </c>
      <c r="G28" s="400">
        <f t="shared" si="1"/>
        <v>0.0555</v>
      </c>
      <c r="H28" s="398" t="s">
        <v>272</v>
      </c>
      <c r="I28" s="399">
        <v>0.609</v>
      </c>
      <c r="J28" s="400">
        <f t="shared" si="2"/>
        <v>0.3045</v>
      </c>
      <c r="K28" s="398"/>
      <c r="L28" s="399">
        <v>8.2336</v>
      </c>
      <c r="M28" s="400">
        <f t="shared" si="3"/>
        <v>8.2336</v>
      </c>
      <c r="N28" s="398"/>
      <c r="O28" s="399">
        <v>3.223</v>
      </c>
      <c r="P28" s="400">
        <f t="shared" si="4"/>
        <v>3.223</v>
      </c>
      <c r="Q28" s="398"/>
      <c r="R28" s="399">
        <v>0.0143</v>
      </c>
      <c r="S28" s="400">
        <f t="shared" si="5"/>
        <v>0.0143</v>
      </c>
      <c r="T28" s="398"/>
      <c r="U28" s="399">
        <v>1.2475</v>
      </c>
      <c r="V28" s="400">
        <f t="shared" si="6"/>
        <v>1.2475</v>
      </c>
      <c r="W28" s="419" t="s">
        <v>272</v>
      </c>
      <c r="X28" s="420">
        <v>0.5</v>
      </c>
      <c r="Y28" s="400">
        <f t="shared" si="7"/>
        <v>0.25</v>
      </c>
      <c r="Z28" s="398" t="s">
        <v>272</v>
      </c>
      <c r="AA28" s="399">
        <v>0.201</v>
      </c>
      <c r="AB28" s="400">
        <f t="shared" si="8"/>
        <v>0.1005</v>
      </c>
      <c r="AC28" s="398"/>
      <c r="AD28" s="399">
        <v>24.6146</v>
      </c>
      <c r="AE28" s="400">
        <f t="shared" si="9"/>
        <v>24.6146</v>
      </c>
      <c r="AF28" s="398"/>
      <c r="AG28" s="399"/>
      <c r="AH28" s="399"/>
      <c r="AI28" s="400"/>
      <c r="AJ28" s="301"/>
    </row>
    <row r="29" spans="1:36" s="257" customFormat="1" ht="12">
      <c r="A29" s="444">
        <v>37661</v>
      </c>
      <c r="B29" s="398"/>
      <c r="C29" s="399">
        <v>3.3198</v>
      </c>
      <c r="D29" s="400">
        <f t="shared" si="0"/>
        <v>3.3198</v>
      </c>
      <c r="E29" s="398" t="s">
        <v>272</v>
      </c>
      <c r="F29" s="399">
        <v>0.111</v>
      </c>
      <c r="G29" s="400">
        <f t="shared" si="1"/>
        <v>0.0555</v>
      </c>
      <c r="H29" s="398" t="s">
        <v>272</v>
      </c>
      <c r="I29" s="399">
        <v>0.609</v>
      </c>
      <c r="J29" s="400">
        <f t="shared" si="2"/>
        <v>0.3045</v>
      </c>
      <c r="K29" s="398" t="s">
        <v>307</v>
      </c>
      <c r="L29" s="399">
        <v>14.4587</v>
      </c>
      <c r="M29" s="400">
        <f t="shared" si="3"/>
        <v>14.4587</v>
      </c>
      <c r="N29" s="398"/>
      <c r="O29" s="399">
        <v>4.1806</v>
      </c>
      <c r="P29" s="400">
        <f t="shared" si="4"/>
        <v>4.1806</v>
      </c>
      <c r="Q29" s="398"/>
      <c r="R29" s="399">
        <v>0.016</v>
      </c>
      <c r="S29" s="400">
        <f t="shared" si="5"/>
        <v>0.016</v>
      </c>
      <c r="T29" s="398"/>
      <c r="U29" s="399">
        <v>2.3086</v>
      </c>
      <c r="V29" s="400">
        <f t="shared" si="6"/>
        <v>2.3086</v>
      </c>
      <c r="W29" s="419" t="s">
        <v>272</v>
      </c>
      <c r="X29" s="420">
        <v>0.5</v>
      </c>
      <c r="Y29" s="400">
        <f t="shared" si="7"/>
        <v>0.25</v>
      </c>
      <c r="Z29" s="398" t="s">
        <v>272</v>
      </c>
      <c r="AA29" s="399">
        <v>0.201</v>
      </c>
      <c r="AB29" s="400">
        <f t="shared" si="8"/>
        <v>0.1005</v>
      </c>
      <c r="AC29" s="398" t="s">
        <v>307</v>
      </c>
      <c r="AD29" s="399">
        <v>32.9048</v>
      </c>
      <c r="AE29" s="400">
        <f t="shared" si="9"/>
        <v>32.9048</v>
      </c>
      <c r="AF29" s="398"/>
      <c r="AG29" s="399"/>
      <c r="AH29" s="399"/>
      <c r="AI29" s="400">
        <f t="shared" si="10"/>
      </c>
      <c r="AJ29" s="301"/>
    </row>
    <row r="30" spans="1:36" s="257" customFormat="1" ht="12">
      <c r="A30" s="444">
        <v>37672</v>
      </c>
      <c r="B30" s="398"/>
      <c r="C30" s="399">
        <v>3.9336</v>
      </c>
      <c r="D30" s="400">
        <f t="shared" si="0"/>
        <v>3.9336</v>
      </c>
      <c r="E30" s="398"/>
      <c r="F30" s="399">
        <v>0.1638</v>
      </c>
      <c r="G30" s="400">
        <f t="shared" si="1"/>
        <v>0.1638</v>
      </c>
      <c r="H30" s="398"/>
      <c r="I30" s="399">
        <v>0.609</v>
      </c>
      <c r="J30" s="400">
        <f t="shared" si="2"/>
        <v>0.609</v>
      </c>
      <c r="K30" s="398"/>
      <c r="L30" s="399">
        <v>10.4796</v>
      </c>
      <c r="M30" s="400">
        <f t="shared" si="3"/>
        <v>10.4796</v>
      </c>
      <c r="N30" s="398"/>
      <c r="O30" s="399">
        <v>1.9845</v>
      </c>
      <c r="P30" s="400">
        <f t="shared" si="4"/>
        <v>1.9845</v>
      </c>
      <c r="Q30" s="398"/>
      <c r="R30" s="399">
        <v>0.0158</v>
      </c>
      <c r="S30" s="400">
        <f t="shared" si="5"/>
        <v>0.0158</v>
      </c>
      <c r="T30" s="398"/>
      <c r="U30" s="399">
        <v>2.2109</v>
      </c>
      <c r="V30" s="400">
        <f t="shared" si="6"/>
        <v>2.2109</v>
      </c>
      <c r="W30" s="419" t="s">
        <v>272</v>
      </c>
      <c r="X30" s="420">
        <v>0.5</v>
      </c>
      <c r="Y30" s="400">
        <f t="shared" si="7"/>
        <v>0.25</v>
      </c>
      <c r="Z30" s="398"/>
      <c r="AA30" s="399">
        <v>0.201</v>
      </c>
      <c r="AB30" s="400">
        <f t="shared" si="8"/>
        <v>0.201</v>
      </c>
      <c r="AC30" s="398"/>
      <c r="AD30" s="399">
        <v>32.0807</v>
      </c>
      <c r="AE30" s="400">
        <f t="shared" si="9"/>
        <v>32.0807</v>
      </c>
      <c r="AF30" s="398"/>
      <c r="AG30" s="399"/>
      <c r="AH30" s="399"/>
      <c r="AI30" s="400"/>
      <c r="AJ30" s="301"/>
    </row>
    <row r="31" spans="1:36" s="257" customFormat="1" ht="12">
      <c r="A31" s="444">
        <v>37699</v>
      </c>
      <c r="B31" s="398"/>
      <c r="C31" s="399">
        <v>3.5</v>
      </c>
      <c r="D31" s="400">
        <f t="shared" si="0"/>
        <v>3.5</v>
      </c>
      <c r="E31" s="398" t="s">
        <v>272</v>
      </c>
      <c r="F31" s="399">
        <v>0.111</v>
      </c>
      <c r="G31" s="400">
        <f t="shared" si="1"/>
        <v>0.0555</v>
      </c>
      <c r="H31" s="398"/>
      <c r="I31" s="399">
        <v>2.4</v>
      </c>
      <c r="J31" s="400">
        <f t="shared" si="2"/>
        <v>2.4</v>
      </c>
      <c r="K31" s="398"/>
      <c r="L31" s="399">
        <v>9.2</v>
      </c>
      <c r="M31" s="400">
        <f t="shared" si="3"/>
        <v>9.2</v>
      </c>
      <c r="N31" s="398"/>
      <c r="O31" s="399">
        <v>1.4</v>
      </c>
      <c r="P31" s="400">
        <f t="shared" si="4"/>
        <v>1.4</v>
      </c>
      <c r="Q31" s="398"/>
      <c r="R31" s="399">
        <v>0.0215</v>
      </c>
      <c r="S31" s="400">
        <f t="shared" si="5"/>
        <v>0.0215</v>
      </c>
      <c r="T31" s="398" t="s">
        <v>272</v>
      </c>
      <c r="U31" s="399">
        <v>0.498</v>
      </c>
      <c r="V31" s="400">
        <f t="shared" si="6"/>
        <v>0.249</v>
      </c>
      <c r="W31" s="419" t="s">
        <v>272</v>
      </c>
      <c r="X31" s="420">
        <v>0.5</v>
      </c>
      <c r="Y31" s="400">
        <f t="shared" si="7"/>
        <v>0.25</v>
      </c>
      <c r="Z31" s="398" t="s">
        <v>272</v>
      </c>
      <c r="AA31" s="399">
        <v>0.201</v>
      </c>
      <c r="AB31" s="400">
        <f t="shared" si="8"/>
        <v>0.1005</v>
      </c>
      <c r="AC31" s="398"/>
      <c r="AD31" s="399">
        <v>38</v>
      </c>
      <c r="AE31" s="400">
        <f t="shared" si="9"/>
        <v>38</v>
      </c>
      <c r="AF31" s="427">
        <v>37689</v>
      </c>
      <c r="AG31" s="399" t="s">
        <v>272</v>
      </c>
      <c r="AH31" s="399">
        <v>5</v>
      </c>
      <c r="AI31" s="400">
        <f t="shared" si="10"/>
        <v>2.5</v>
      </c>
      <c r="AJ31" s="301"/>
    </row>
    <row r="32" spans="1:36" s="257" customFormat="1" ht="12">
      <c r="A32" s="444">
        <v>37730</v>
      </c>
      <c r="B32" s="398" t="s">
        <v>272</v>
      </c>
      <c r="C32" s="399">
        <v>1.2</v>
      </c>
      <c r="D32" s="400">
        <f t="shared" si="0"/>
        <v>0.6</v>
      </c>
      <c r="E32" s="398" t="s">
        <v>272</v>
      </c>
      <c r="F32" s="399">
        <v>0.11</v>
      </c>
      <c r="G32" s="400">
        <f t="shared" si="1"/>
        <v>0.055</v>
      </c>
      <c r="H32" s="398"/>
      <c r="I32" s="399">
        <v>1.6</v>
      </c>
      <c r="J32" s="400">
        <f t="shared" si="2"/>
        <v>1.6</v>
      </c>
      <c r="K32" s="398"/>
      <c r="L32" s="399">
        <v>8.8</v>
      </c>
      <c r="M32" s="400">
        <f t="shared" si="3"/>
        <v>8.8</v>
      </c>
      <c r="N32" s="398"/>
      <c r="O32" s="399">
        <v>1.5</v>
      </c>
      <c r="P32" s="400">
        <f t="shared" si="4"/>
        <v>1.5</v>
      </c>
      <c r="Q32" s="398"/>
      <c r="R32" s="399">
        <v>0.015</v>
      </c>
      <c r="S32" s="400">
        <f t="shared" si="5"/>
        <v>0.015</v>
      </c>
      <c r="T32" s="398" t="s">
        <v>272</v>
      </c>
      <c r="U32" s="399">
        <v>0.5</v>
      </c>
      <c r="V32" s="400">
        <f t="shared" si="6"/>
        <v>0.25</v>
      </c>
      <c r="W32" s="419"/>
      <c r="X32" s="421"/>
      <c r="Y32" s="400">
        <f t="shared" si="7"/>
      </c>
      <c r="Z32" s="398" t="s">
        <v>272</v>
      </c>
      <c r="AA32" s="399">
        <v>0.2</v>
      </c>
      <c r="AB32" s="400">
        <f t="shared" si="8"/>
        <v>0.1</v>
      </c>
      <c r="AC32" s="398"/>
      <c r="AD32" s="399">
        <v>25</v>
      </c>
      <c r="AE32" s="400">
        <f t="shared" si="9"/>
        <v>25</v>
      </c>
      <c r="AF32" s="398"/>
      <c r="AG32" s="399"/>
      <c r="AH32" s="399"/>
      <c r="AI32" s="400"/>
      <c r="AJ32" s="301"/>
    </row>
    <row r="33" spans="1:36" s="257" customFormat="1" ht="12">
      <c r="A33" s="444">
        <v>37764</v>
      </c>
      <c r="B33" s="398" t="s">
        <v>272</v>
      </c>
      <c r="C33" s="399">
        <v>2</v>
      </c>
      <c r="D33" s="400">
        <f t="shared" si="0"/>
        <v>1</v>
      </c>
      <c r="E33" s="398" t="s">
        <v>272</v>
      </c>
      <c r="F33" s="399">
        <v>0.5</v>
      </c>
      <c r="G33" s="400">
        <f t="shared" si="1"/>
        <v>0.25</v>
      </c>
      <c r="H33" s="398" t="s">
        <v>307</v>
      </c>
      <c r="I33" s="399">
        <v>1.9</v>
      </c>
      <c r="J33" s="400">
        <f t="shared" si="2"/>
        <v>1.9</v>
      </c>
      <c r="K33" s="398" t="s">
        <v>307</v>
      </c>
      <c r="L33" s="399">
        <v>9.9</v>
      </c>
      <c r="M33" s="400">
        <f t="shared" si="3"/>
        <v>9.9</v>
      </c>
      <c r="N33" s="398" t="s">
        <v>307</v>
      </c>
      <c r="O33" s="399">
        <v>1.9</v>
      </c>
      <c r="P33" s="400">
        <f t="shared" si="4"/>
        <v>1.9</v>
      </c>
      <c r="Q33" s="398"/>
      <c r="R33" s="414">
        <v>0.0156</v>
      </c>
      <c r="S33" s="400">
        <f t="shared" si="5"/>
        <v>0.0156</v>
      </c>
      <c r="T33" s="398" t="s">
        <v>272</v>
      </c>
      <c r="U33" s="399">
        <v>5</v>
      </c>
      <c r="V33" s="400">
        <f t="shared" si="6"/>
        <v>2.5</v>
      </c>
      <c r="W33" s="419" t="s">
        <v>272</v>
      </c>
      <c r="X33" s="420">
        <v>0.5</v>
      </c>
      <c r="Y33" s="400">
        <f t="shared" si="7"/>
        <v>0.25</v>
      </c>
      <c r="Z33" s="398" t="s">
        <v>272</v>
      </c>
      <c r="AA33" s="399">
        <v>0.5</v>
      </c>
      <c r="AB33" s="400">
        <f t="shared" si="8"/>
        <v>0.25</v>
      </c>
      <c r="AC33" s="398" t="s">
        <v>307</v>
      </c>
      <c r="AD33" s="399">
        <v>32</v>
      </c>
      <c r="AE33" s="400">
        <f t="shared" si="9"/>
        <v>32</v>
      </c>
      <c r="AF33" s="398"/>
      <c r="AG33" s="399"/>
      <c r="AH33" s="399"/>
      <c r="AI33" s="400"/>
      <c r="AJ33" s="301"/>
    </row>
    <row r="34" spans="1:35" s="257" customFormat="1" ht="12">
      <c r="A34" s="444">
        <v>37795</v>
      </c>
      <c r="B34" s="398" t="s">
        <v>272</v>
      </c>
      <c r="C34" s="399">
        <v>1.15</v>
      </c>
      <c r="D34" s="400">
        <f t="shared" si="0"/>
        <v>0.575</v>
      </c>
      <c r="E34" s="398" t="s">
        <v>272</v>
      </c>
      <c r="F34" s="399">
        <v>0.11</v>
      </c>
      <c r="G34" s="400">
        <f t="shared" si="1"/>
        <v>0.055</v>
      </c>
      <c r="H34" s="398" t="s">
        <v>307</v>
      </c>
      <c r="I34" s="399">
        <v>0.61</v>
      </c>
      <c r="J34" s="400">
        <f t="shared" si="2"/>
        <v>0.61</v>
      </c>
      <c r="K34" s="398" t="s">
        <v>307</v>
      </c>
      <c r="L34" s="399">
        <v>10.46</v>
      </c>
      <c r="M34" s="400">
        <f t="shared" si="3"/>
        <v>10.46</v>
      </c>
      <c r="N34" s="398" t="s">
        <v>307</v>
      </c>
      <c r="O34" s="399">
        <v>1.86</v>
      </c>
      <c r="P34" s="400">
        <f t="shared" si="4"/>
        <v>1.86</v>
      </c>
      <c r="Q34" s="398"/>
      <c r="R34" s="414">
        <v>0.021</v>
      </c>
      <c r="S34" s="400">
        <f t="shared" si="5"/>
        <v>0.021</v>
      </c>
      <c r="T34" s="398" t="s">
        <v>307</v>
      </c>
      <c r="U34" s="399">
        <v>2.17</v>
      </c>
      <c r="V34" s="400">
        <f t="shared" si="6"/>
        <v>2.17</v>
      </c>
      <c r="W34" s="419" t="s">
        <v>272</v>
      </c>
      <c r="X34" s="420">
        <v>0.5</v>
      </c>
      <c r="Y34" s="400">
        <f t="shared" si="7"/>
        <v>0.25</v>
      </c>
      <c r="Z34" s="398" t="s">
        <v>307</v>
      </c>
      <c r="AA34" s="399">
        <v>0.57</v>
      </c>
      <c r="AB34" s="400">
        <f t="shared" si="8"/>
        <v>0.57</v>
      </c>
      <c r="AC34" s="398" t="s">
        <v>307</v>
      </c>
      <c r="AD34" s="399">
        <v>26.1</v>
      </c>
      <c r="AE34" s="400">
        <f t="shared" si="9"/>
        <v>26.1</v>
      </c>
      <c r="AF34" s="427">
        <v>37780</v>
      </c>
      <c r="AG34" s="399" t="s">
        <v>272</v>
      </c>
      <c r="AH34" s="399">
        <v>5</v>
      </c>
      <c r="AI34" s="400">
        <f aca="true" t="shared" si="11" ref="AI34:AI39">IF(AH34="","",IF(AG34="&lt;",AH34/2,AH34))</f>
        <v>2.5</v>
      </c>
    </row>
    <row r="35" spans="1:35" s="257" customFormat="1" ht="12">
      <c r="A35" s="444">
        <v>37824</v>
      </c>
      <c r="B35" s="398" t="s">
        <v>272</v>
      </c>
      <c r="C35" s="399">
        <v>1.15</v>
      </c>
      <c r="D35" s="400">
        <f t="shared" si="0"/>
        <v>0.575</v>
      </c>
      <c r="E35" s="398" t="s">
        <v>307</v>
      </c>
      <c r="F35" s="399">
        <v>0.11</v>
      </c>
      <c r="G35" s="400">
        <f t="shared" si="1"/>
        <v>0.11</v>
      </c>
      <c r="H35" s="398" t="s">
        <v>307</v>
      </c>
      <c r="I35" s="399">
        <v>2.17</v>
      </c>
      <c r="J35" s="400">
        <f t="shared" si="2"/>
        <v>2.17</v>
      </c>
      <c r="K35" s="398" t="s">
        <v>307</v>
      </c>
      <c r="L35" s="399">
        <v>10.41</v>
      </c>
      <c r="M35" s="400">
        <f t="shared" si="3"/>
        <v>10.41</v>
      </c>
      <c r="N35" s="398" t="s">
        <v>307</v>
      </c>
      <c r="O35" s="399">
        <v>2.74</v>
      </c>
      <c r="P35" s="400">
        <f t="shared" si="4"/>
        <v>2.74</v>
      </c>
      <c r="Q35" s="398"/>
      <c r="R35" s="414">
        <v>0.011</v>
      </c>
      <c r="S35" s="400">
        <f t="shared" si="5"/>
        <v>0.011</v>
      </c>
      <c r="T35" s="398" t="s">
        <v>307</v>
      </c>
      <c r="U35" s="399">
        <v>1.72</v>
      </c>
      <c r="V35" s="400">
        <f t="shared" si="6"/>
        <v>1.72</v>
      </c>
      <c r="W35" s="419" t="s">
        <v>272</v>
      </c>
      <c r="X35" s="420">
        <v>0.5</v>
      </c>
      <c r="Y35" s="400">
        <f t="shared" si="7"/>
        <v>0.25</v>
      </c>
      <c r="Z35" s="398" t="s">
        <v>272</v>
      </c>
      <c r="AA35" s="399">
        <v>0.2</v>
      </c>
      <c r="AB35" s="400">
        <f t="shared" si="8"/>
        <v>0.1</v>
      </c>
      <c r="AC35" s="398" t="s">
        <v>307</v>
      </c>
      <c r="AD35" s="399">
        <v>29.8</v>
      </c>
      <c r="AE35" s="400">
        <f t="shared" si="9"/>
        <v>29.8</v>
      </c>
      <c r="AF35" s="398"/>
      <c r="AG35" s="399"/>
      <c r="AH35" s="399"/>
      <c r="AI35" s="400">
        <f t="shared" si="11"/>
      </c>
    </row>
    <row r="36" spans="1:35" s="257" customFormat="1" ht="12">
      <c r="A36" s="444">
        <v>37853</v>
      </c>
      <c r="B36" s="398" t="s">
        <v>307</v>
      </c>
      <c r="C36" s="399">
        <v>4.62</v>
      </c>
      <c r="D36" s="400">
        <f t="shared" si="0"/>
        <v>4.62</v>
      </c>
      <c r="E36" s="398" t="s">
        <v>307</v>
      </c>
      <c r="F36" s="399">
        <v>0.25</v>
      </c>
      <c r="G36" s="400">
        <f t="shared" si="1"/>
        <v>0.25</v>
      </c>
      <c r="H36" s="398" t="s">
        <v>272</v>
      </c>
      <c r="I36" s="399">
        <v>0.61</v>
      </c>
      <c r="J36" s="400">
        <f t="shared" si="2"/>
        <v>0.305</v>
      </c>
      <c r="K36" s="398" t="s">
        <v>307</v>
      </c>
      <c r="L36" s="399">
        <v>8.79</v>
      </c>
      <c r="M36" s="400">
        <f t="shared" si="3"/>
        <v>8.79</v>
      </c>
      <c r="N36" s="398" t="s">
        <v>307</v>
      </c>
      <c r="O36" s="399">
        <v>1.01</v>
      </c>
      <c r="P36" s="400">
        <f t="shared" si="4"/>
        <v>1.01</v>
      </c>
      <c r="Q36" s="398"/>
      <c r="R36" s="414">
        <v>0.0065</v>
      </c>
      <c r="S36" s="400">
        <f t="shared" si="5"/>
        <v>0.0065</v>
      </c>
      <c r="T36" s="398" t="s">
        <v>307</v>
      </c>
      <c r="U36" s="399">
        <v>1.73</v>
      </c>
      <c r="V36" s="400">
        <f t="shared" si="6"/>
        <v>1.73</v>
      </c>
      <c r="W36" s="419" t="s">
        <v>272</v>
      </c>
      <c r="X36" s="420">
        <v>0.5</v>
      </c>
      <c r="Y36" s="400">
        <f t="shared" si="7"/>
        <v>0.25</v>
      </c>
      <c r="Z36" s="398" t="s">
        <v>307</v>
      </c>
      <c r="AA36" s="399">
        <v>0.29</v>
      </c>
      <c r="AB36" s="400">
        <f t="shared" si="8"/>
        <v>0.29</v>
      </c>
      <c r="AC36" s="398" t="s">
        <v>307</v>
      </c>
      <c r="AD36" s="399">
        <v>23.25</v>
      </c>
      <c r="AE36" s="400">
        <f t="shared" si="9"/>
        <v>23.25</v>
      </c>
      <c r="AF36" s="427">
        <v>37845</v>
      </c>
      <c r="AG36" s="399"/>
      <c r="AH36" s="399">
        <v>2.6</v>
      </c>
      <c r="AI36" s="400">
        <f t="shared" si="11"/>
        <v>2.6</v>
      </c>
    </row>
    <row r="37" spans="1:36" s="257" customFormat="1" ht="12">
      <c r="A37" s="444">
        <v>37882</v>
      </c>
      <c r="B37" s="398" t="s">
        <v>272</v>
      </c>
      <c r="C37" s="399">
        <v>1.15</v>
      </c>
      <c r="D37" s="400">
        <f t="shared" si="0"/>
        <v>0.575</v>
      </c>
      <c r="E37" s="398" t="s">
        <v>272</v>
      </c>
      <c r="F37" s="399">
        <v>0.11</v>
      </c>
      <c r="G37" s="400">
        <f t="shared" si="1"/>
        <v>0.055</v>
      </c>
      <c r="H37" s="398" t="s">
        <v>307</v>
      </c>
      <c r="I37" s="399">
        <v>1.53</v>
      </c>
      <c r="J37" s="400">
        <f t="shared" si="2"/>
        <v>1.53</v>
      </c>
      <c r="K37" s="398" t="s">
        <v>307</v>
      </c>
      <c r="L37" s="399">
        <v>12.97</v>
      </c>
      <c r="M37" s="400">
        <f t="shared" si="3"/>
        <v>12.97</v>
      </c>
      <c r="N37" s="398" t="s">
        <v>307</v>
      </c>
      <c r="O37" s="399">
        <v>2.55</v>
      </c>
      <c r="P37" s="400">
        <f t="shared" si="4"/>
        <v>2.55</v>
      </c>
      <c r="Q37" s="398"/>
      <c r="R37" s="414">
        <v>0.022</v>
      </c>
      <c r="S37" s="400">
        <f t="shared" si="5"/>
        <v>0.022</v>
      </c>
      <c r="T37" s="398" t="s">
        <v>307</v>
      </c>
      <c r="U37" s="399">
        <v>2.13</v>
      </c>
      <c r="V37" s="400">
        <f t="shared" si="6"/>
        <v>2.13</v>
      </c>
      <c r="W37" s="419" t="s">
        <v>272</v>
      </c>
      <c r="X37" s="420">
        <v>0.5</v>
      </c>
      <c r="Y37" s="400">
        <f t="shared" si="7"/>
        <v>0.25</v>
      </c>
      <c r="Z37" s="398" t="s">
        <v>272</v>
      </c>
      <c r="AA37" s="399">
        <v>0.2</v>
      </c>
      <c r="AB37" s="400">
        <f t="shared" si="8"/>
        <v>0.1</v>
      </c>
      <c r="AC37" s="398" t="s">
        <v>307</v>
      </c>
      <c r="AD37" s="399">
        <v>29.96</v>
      </c>
      <c r="AE37" s="400">
        <f t="shared" si="9"/>
        <v>29.96</v>
      </c>
      <c r="AF37" s="398"/>
      <c r="AG37" s="399"/>
      <c r="AH37" s="399"/>
      <c r="AI37" s="400">
        <f t="shared" si="11"/>
      </c>
      <c r="AJ37" s="301"/>
    </row>
    <row r="38" spans="1:35" s="257" customFormat="1" ht="12">
      <c r="A38" s="444">
        <v>37911</v>
      </c>
      <c r="B38" s="398" t="s">
        <v>307</v>
      </c>
      <c r="C38" s="399">
        <v>2.403</v>
      </c>
      <c r="D38" s="400">
        <f t="shared" si="0"/>
        <v>2.403</v>
      </c>
      <c r="E38" s="398" t="s">
        <v>272</v>
      </c>
      <c r="F38" s="399">
        <v>0.111</v>
      </c>
      <c r="G38" s="400">
        <f t="shared" si="1"/>
        <v>0.0555</v>
      </c>
      <c r="H38" s="398" t="s">
        <v>272</v>
      </c>
      <c r="I38" s="399">
        <v>0.609</v>
      </c>
      <c r="J38" s="400">
        <f t="shared" si="2"/>
        <v>0.3045</v>
      </c>
      <c r="K38" s="398" t="s">
        <v>307</v>
      </c>
      <c r="L38" s="399">
        <v>8.241</v>
      </c>
      <c r="M38" s="400">
        <f t="shared" si="3"/>
        <v>8.241</v>
      </c>
      <c r="N38" s="398" t="s">
        <v>272</v>
      </c>
      <c r="O38" s="399">
        <v>1</v>
      </c>
      <c r="P38" s="400">
        <f t="shared" si="4"/>
        <v>0.5</v>
      </c>
      <c r="Q38" s="398"/>
      <c r="R38" s="414">
        <v>0.01158</v>
      </c>
      <c r="S38" s="400">
        <f t="shared" si="5"/>
        <v>0.01158</v>
      </c>
      <c r="T38" s="398" t="s">
        <v>307</v>
      </c>
      <c r="U38" s="399">
        <v>2.487</v>
      </c>
      <c r="V38" s="400">
        <f t="shared" si="6"/>
        <v>2.487</v>
      </c>
      <c r="W38" s="419" t="s">
        <v>272</v>
      </c>
      <c r="X38" s="420">
        <v>0.5</v>
      </c>
      <c r="Y38" s="400">
        <f t="shared" si="7"/>
        <v>0.25</v>
      </c>
      <c r="Z38" s="398" t="s">
        <v>272</v>
      </c>
      <c r="AA38" s="399">
        <v>0.201</v>
      </c>
      <c r="AB38" s="400">
        <f t="shared" si="8"/>
        <v>0.1005</v>
      </c>
      <c r="AC38" s="398" t="s">
        <v>307</v>
      </c>
      <c r="AD38" s="399">
        <v>23.35</v>
      </c>
      <c r="AE38" s="400">
        <f t="shared" si="9"/>
        <v>23.35</v>
      </c>
      <c r="AF38" s="398"/>
      <c r="AG38" s="399"/>
      <c r="AH38" s="399"/>
      <c r="AI38" s="400">
        <f t="shared" si="11"/>
      </c>
    </row>
    <row r="39" spans="1:35" s="257" customFormat="1" ht="12">
      <c r="A39" s="444">
        <v>37948</v>
      </c>
      <c r="B39" s="398" t="s">
        <v>272</v>
      </c>
      <c r="C39" s="399">
        <v>5</v>
      </c>
      <c r="D39" s="400">
        <f t="shared" si="0"/>
        <v>2.5</v>
      </c>
      <c r="E39" s="398"/>
      <c r="F39" s="399">
        <v>0.206</v>
      </c>
      <c r="G39" s="400"/>
      <c r="H39" s="398"/>
      <c r="I39" s="399">
        <v>2.53</v>
      </c>
      <c r="J39" s="400">
        <f t="shared" si="2"/>
        <v>2.53</v>
      </c>
      <c r="K39" s="398"/>
      <c r="L39" s="399">
        <v>17.66</v>
      </c>
      <c r="M39" s="400">
        <f t="shared" si="3"/>
        <v>17.66</v>
      </c>
      <c r="N39" s="398" t="s">
        <v>272</v>
      </c>
      <c r="O39" s="399">
        <v>0.99</v>
      </c>
      <c r="P39" s="400">
        <f t="shared" si="4"/>
        <v>0.495</v>
      </c>
      <c r="Q39" s="398"/>
      <c r="R39" s="414">
        <v>0.0101</v>
      </c>
      <c r="S39" s="400">
        <f t="shared" si="5"/>
        <v>0.0101</v>
      </c>
      <c r="T39" s="398"/>
      <c r="U39" s="399">
        <v>3.88</v>
      </c>
      <c r="V39" s="400">
        <f t="shared" si="6"/>
        <v>3.88</v>
      </c>
      <c r="W39" s="419" t="s">
        <v>272</v>
      </c>
      <c r="X39" s="420">
        <v>0.5</v>
      </c>
      <c r="Y39" s="400">
        <f t="shared" si="7"/>
        <v>0.25</v>
      </c>
      <c r="Z39" s="398" t="s">
        <v>272</v>
      </c>
      <c r="AA39" s="399">
        <v>0.201</v>
      </c>
      <c r="AB39" s="400">
        <f t="shared" si="8"/>
        <v>0.1005</v>
      </c>
      <c r="AC39" s="398"/>
      <c r="AD39" s="399">
        <v>40.61</v>
      </c>
      <c r="AE39" s="400">
        <f t="shared" si="9"/>
        <v>40.61</v>
      </c>
      <c r="AF39" s="427">
        <v>37946</v>
      </c>
      <c r="AG39" s="399" t="s">
        <v>272</v>
      </c>
      <c r="AH39" s="399">
        <v>0.4</v>
      </c>
      <c r="AI39" s="400">
        <f t="shared" si="11"/>
        <v>0.2</v>
      </c>
    </row>
    <row r="40" spans="1:35" s="257" customFormat="1" ht="12">
      <c r="A40" s="444">
        <v>37975</v>
      </c>
      <c r="B40" s="398" t="s">
        <v>272</v>
      </c>
      <c r="C40" s="399">
        <v>1.2</v>
      </c>
      <c r="D40" s="400">
        <f t="shared" si="0"/>
        <v>0.6</v>
      </c>
      <c r="E40" s="398" t="s">
        <v>272</v>
      </c>
      <c r="F40" s="399">
        <v>0.14</v>
      </c>
      <c r="G40" s="400"/>
      <c r="H40" s="398" t="s">
        <v>272</v>
      </c>
      <c r="I40" s="399">
        <v>0.61</v>
      </c>
      <c r="J40" s="400">
        <f t="shared" si="2"/>
        <v>0.305</v>
      </c>
      <c r="K40" s="398"/>
      <c r="L40" s="399">
        <v>8.1</v>
      </c>
      <c r="M40" s="400">
        <f t="shared" si="3"/>
        <v>8.1</v>
      </c>
      <c r="N40" s="398"/>
      <c r="O40" s="399"/>
      <c r="P40" s="400"/>
      <c r="Q40" s="398"/>
      <c r="R40" s="414">
        <v>0.015</v>
      </c>
      <c r="S40" s="400">
        <f t="shared" si="5"/>
        <v>0.015</v>
      </c>
      <c r="T40" s="398" t="s">
        <v>272</v>
      </c>
      <c r="U40" s="399">
        <v>1.9</v>
      </c>
      <c r="V40" s="400">
        <f t="shared" si="6"/>
        <v>0.95</v>
      </c>
      <c r="W40" s="419" t="s">
        <v>272</v>
      </c>
      <c r="X40" s="420">
        <v>0.5</v>
      </c>
      <c r="Y40" s="400">
        <f t="shared" si="7"/>
        <v>0.25</v>
      </c>
      <c r="Z40" s="398" t="s">
        <v>272</v>
      </c>
      <c r="AA40" s="399">
        <v>0.2</v>
      </c>
      <c r="AB40" s="400">
        <f t="shared" si="8"/>
        <v>0.1</v>
      </c>
      <c r="AC40" s="398"/>
      <c r="AD40" s="399">
        <v>31.3</v>
      </c>
      <c r="AE40" s="400">
        <f t="shared" si="9"/>
        <v>31.3</v>
      </c>
      <c r="AF40" s="398"/>
      <c r="AG40" s="399"/>
      <c r="AH40" s="399"/>
      <c r="AI40" s="400"/>
    </row>
    <row r="41" spans="1:36" s="257" customFormat="1" ht="12">
      <c r="A41" s="387"/>
      <c r="B41" s="401"/>
      <c r="C41" s="402"/>
      <c r="D41" s="400"/>
      <c r="E41" s="401"/>
      <c r="F41" s="402"/>
      <c r="G41" s="400"/>
      <c r="H41" s="401"/>
      <c r="I41" s="402"/>
      <c r="J41" s="400"/>
      <c r="K41" s="401"/>
      <c r="L41" s="402"/>
      <c r="M41" s="400"/>
      <c r="N41" s="401"/>
      <c r="O41" s="402"/>
      <c r="P41" s="400"/>
      <c r="Q41" s="398"/>
      <c r="R41" s="402"/>
      <c r="S41" s="400"/>
      <c r="T41" s="401"/>
      <c r="U41" s="402"/>
      <c r="V41" s="400"/>
      <c r="W41" s="419"/>
      <c r="X41" s="420"/>
      <c r="Y41" s="400"/>
      <c r="Z41" s="401"/>
      <c r="AA41" s="402"/>
      <c r="AB41" s="400"/>
      <c r="AC41" s="401"/>
      <c r="AD41" s="402"/>
      <c r="AE41" s="400"/>
      <c r="AF41" s="401"/>
      <c r="AG41" s="402"/>
      <c r="AH41" s="402"/>
      <c r="AI41" s="400"/>
      <c r="AJ41" s="301"/>
    </row>
    <row r="42" spans="1:35" s="257" customFormat="1" ht="12">
      <c r="A42" s="388"/>
      <c r="B42" s="398"/>
      <c r="C42" s="399"/>
      <c r="D42" s="403"/>
      <c r="E42" s="398"/>
      <c r="F42" s="399"/>
      <c r="G42" s="403"/>
      <c r="H42" s="398"/>
      <c r="I42" s="399"/>
      <c r="J42" s="403"/>
      <c r="K42" s="398"/>
      <c r="L42" s="399"/>
      <c r="M42" s="403"/>
      <c r="N42" s="398"/>
      <c r="O42" s="399"/>
      <c r="P42" s="403"/>
      <c r="Q42" s="398"/>
      <c r="R42" s="399"/>
      <c r="S42" s="403"/>
      <c r="T42" s="398"/>
      <c r="U42" s="399"/>
      <c r="V42" s="403"/>
      <c r="W42" s="419"/>
      <c r="X42" s="420"/>
      <c r="Y42" s="400"/>
      <c r="Z42" s="398"/>
      <c r="AA42" s="399"/>
      <c r="AB42" s="403"/>
      <c r="AC42" s="398"/>
      <c r="AD42" s="399"/>
      <c r="AE42" s="403"/>
      <c r="AF42" s="398"/>
      <c r="AG42" s="399"/>
      <c r="AH42" s="399"/>
      <c r="AI42" s="403"/>
    </row>
    <row r="43" spans="1:35" s="257" customFormat="1" ht="12">
      <c r="A43" s="389" t="s">
        <v>308</v>
      </c>
      <c r="B43" s="401" t="s">
        <v>272</v>
      </c>
      <c r="C43" s="402">
        <v>1.15</v>
      </c>
      <c r="D43" s="400"/>
      <c r="E43" s="401" t="s">
        <v>272</v>
      </c>
      <c r="F43" s="402">
        <v>0.11</v>
      </c>
      <c r="G43" s="400"/>
      <c r="H43" s="401" t="s">
        <v>272</v>
      </c>
      <c r="I43" s="402">
        <v>0.6</v>
      </c>
      <c r="J43" s="400"/>
      <c r="K43" s="401"/>
      <c r="L43" s="416" t="s">
        <v>309</v>
      </c>
      <c r="M43" s="400"/>
      <c r="N43" s="401" t="s">
        <v>272</v>
      </c>
      <c r="O43" s="402">
        <v>0.989</v>
      </c>
      <c r="P43" s="400"/>
      <c r="Q43" s="401"/>
      <c r="R43" s="416" t="s">
        <v>309</v>
      </c>
      <c r="S43" s="400"/>
      <c r="T43" s="401"/>
      <c r="U43" s="402">
        <v>0.498</v>
      </c>
      <c r="V43" s="400"/>
      <c r="W43" s="419"/>
      <c r="X43" s="420">
        <v>0.5</v>
      </c>
      <c r="Y43" s="400"/>
      <c r="Z43" s="401"/>
      <c r="AA43" s="402">
        <v>0.2</v>
      </c>
      <c r="AB43" s="400"/>
      <c r="AC43" s="401"/>
      <c r="AD43" s="416" t="s">
        <v>309</v>
      </c>
      <c r="AE43" s="400"/>
      <c r="AF43" s="401"/>
      <c r="AG43" s="402"/>
      <c r="AH43" s="402">
        <v>0.4</v>
      </c>
      <c r="AI43" s="400"/>
    </row>
    <row r="44" spans="1:35" s="257" customFormat="1" ht="12">
      <c r="A44" s="389" t="s">
        <v>310</v>
      </c>
      <c r="B44" s="401" t="s">
        <v>22</v>
      </c>
      <c r="C44" s="402"/>
      <c r="D44" s="400"/>
      <c r="E44" s="401" t="s">
        <v>22</v>
      </c>
      <c r="F44" s="402"/>
      <c r="G44" s="400"/>
      <c r="H44" s="401" t="s">
        <v>22</v>
      </c>
      <c r="I44" s="402"/>
      <c r="J44" s="400"/>
      <c r="K44" s="401" t="s">
        <v>22</v>
      </c>
      <c r="L44" s="402"/>
      <c r="M44" s="400"/>
      <c r="N44" s="401" t="s">
        <v>22</v>
      </c>
      <c r="O44" s="402"/>
      <c r="P44" s="400"/>
      <c r="Q44" s="401" t="s">
        <v>22</v>
      </c>
      <c r="R44" s="402"/>
      <c r="S44" s="400"/>
      <c r="T44" s="401" t="s">
        <v>22</v>
      </c>
      <c r="U44" s="402"/>
      <c r="V44" s="400"/>
      <c r="W44" s="419" t="s">
        <v>22</v>
      </c>
      <c r="X44" s="420"/>
      <c r="Y44" s="400"/>
      <c r="Z44" s="401" t="s">
        <v>22</v>
      </c>
      <c r="AA44" s="402"/>
      <c r="AB44" s="400"/>
      <c r="AC44" s="401" t="s">
        <v>22</v>
      </c>
      <c r="AD44" s="402"/>
      <c r="AE44" s="400"/>
      <c r="AF44" s="401"/>
      <c r="AG44" s="402" t="s">
        <v>21</v>
      </c>
      <c r="AH44" s="402"/>
      <c r="AI44" s="400"/>
    </row>
    <row r="45" spans="1:35" s="363" customFormat="1" ht="12">
      <c r="A45" s="390" t="s">
        <v>311</v>
      </c>
      <c r="B45" s="404"/>
      <c r="C45" s="405">
        <v>4.62</v>
      </c>
      <c r="D45" s="406"/>
      <c r="E45" s="404"/>
      <c r="F45" s="405">
        <f>MAX(F2:F40)</f>
        <v>1.0344</v>
      </c>
      <c r="G45" s="406"/>
      <c r="H45" s="404"/>
      <c r="I45" s="405">
        <f>MAX(I2:I40)</f>
        <v>2.53</v>
      </c>
      <c r="J45" s="406"/>
      <c r="K45" s="404"/>
      <c r="L45" s="405">
        <f>MAX(L2:L40)</f>
        <v>21.7698</v>
      </c>
      <c r="M45" s="406"/>
      <c r="N45" s="404"/>
      <c r="O45" s="405">
        <f>MAX(O2:O40)</f>
        <v>13.8823</v>
      </c>
      <c r="P45" s="406"/>
      <c r="Q45" s="404"/>
      <c r="R45" s="405">
        <f>MAX(R2:R40)</f>
        <v>0.0591</v>
      </c>
      <c r="S45" s="406"/>
      <c r="T45" s="404"/>
      <c r="U45" s="405">
        <f>MAX(U2:U40)</f>
        <v>5.2294</v>
      </c>
      <c r="V45" s="406"/>
      <c r="W45" s="422"/>
      <c r="X45" s="405">
        <f>MAX(X2:X40)</f>
        <v>1.0742</v>
      </c>
      <c r="Y45" s="406"/>
      <c r="Z45" s="404"/>
      <c r="AA45" s="405">
        <f>MAX(AA2:AA40)</f>
        <v>3</v>
      </c>
      <c r="AB45" s="406"/>
      <c r="AC45" s="404"/>
      <c r="AD45" s="405">
        <f>MAX(AD2:AD38)</f>
        <v>67.2</v>
      </c>
      <c r="AE45" s="406"/>
      <c r="AF45" s="404"/>
      <c r="AG45" s="405"/>
      <c r="AH45" s="428">
        <v>2.6</v>
      </c>
      <c r="AI45" s="406"/>
    </row>
    <row r="46" spans="1:35" s="257" customFormat="1" ht="12">
      <c r="A46" s="390" t="s">
        <v>555</v>
      </c>
      <c r="B46" s="401"/>
      <c r="C46" s="402">
        <v>1.2</v>
      </c>
      <c r="D46" s="403"/>
      <c r="E46" s="398"/>
      <c r="F46" s="437">
        <v>0.11</v>
      </c>
      <c r="G46" s="403"/>
      <c r="H46" s="398"/>
      <c r="I46" s="402">
        <v>0.609</v>
      </c>
      <c r="J46" s="403"/>
      <c r="K46" s="398"/>
      <c r="L46" s="402">
        <f>MIN(L2:L40)</f>
        <v>8.1</v>
      </c>
      <c r="M46" s="403"/>
      <c r="N46" s="398"/>
      <c r="O46" s="437">
        <v>1.01</v>
      </c>
      <c r="P46" s="403"/>
      <c r="Q46" s="398"/>
      <c r="R46" s="414">
        <f>MIN(R2:R40)</f>
        <v>0.0065</v>
      </c>
      <c r="S46" s="403"/>
      <c r="T46" s="398"/>
      <c r="U46" s="437">
        <v>0.8</v>
      </c>
      <c r="V46" s="403"/>
      <c r="W46" s="419"/>
      <c r="X46" s="420">
        <v>0.37</v>
      </c>
      <c r="Y46" s="403"/>
      <c r="Z46" s="398"/>
      <c r="AA46" s="402">
        <v>0.201</v>
      </c>
      <c r="AB46" s="403"/>
      <c r="AC46" s="398"/>
      <c r="AD46" s="402">
        <f>MIN(AD2:AD40)</f>
        <v>17.2</v>
      </c>
      <c r="AE46" s="400"/>
      <c r="AF46" s="401"/>
      <c r="AG46" s="402"/>
      <c r="AH46" s="402">
        <v>2.6</v>
      </c>
      <c r="AI46" s="400"/>
    </row>
    <row r="47" spans="1:35" s="257" customFormat="1" ht="12">
      <c r="A47" s="391" t="s">
        <v>312</v>
      </c>
      <c r="B47" s="407">
        <f>COUNTIF(C2:C40,"&gt;0")</f>
        <v>39</v>
      </c>
      <c r="C47" s="402"/>
      <c r="D47" s="403"/>
      <c r="E47" s="407">
        <f>COUNTIF(F2:F40,"&gt;0")</f>
        <v>39</v>
      </c>
      <c r="F47" s="402"/>
      <c r="G47" s="403"/>
      <c r="H47" s="407">
        <f>COUNTIF(I2:I40,"&gt;0")</f>
        <v>39</v>
      </c>
      <c r="I47" s="402"/>
      <c r="J47" s="403"/>
      <c r="K47" s="407">
        <f>COUNTIF(L2:L40,"&gt;0")</f>
        <v>39</v>
      </c>
      <c r="L47" s="402"/>
      <c r="M47" s="403"/>
      <c r="N47" s="407">
        <f>COUNTIF(O2:O40,"&gt;0")</f>
        <v>38</v>
      </c>
      <c r="O47" s="402"/>
      <c r="P47" s="403"/>
      <c r="Q47" s="407">
        <f>COUNTIF(R2:R40,"&gt;0")</f>
        <v>35</v>
      </c>
      <c r="R47" s="399"/>
      <c r="S47" s="403"/>
      <c r="T47" s="407">
        <f>COUNTIF(U2:U40,"&gt;0")</f>
        <v>39</v>
      </c>
      <c r="U47" s="402"/>
      <c r="V47" s="403"/>
      <c r="W47" s="407">
        <f>COUNTIF(X2:X40,"&gt;0")</f>
        <v>38</v>
      </c>
      <c r="X47" s="402"/>
      <c r="Y47" s="403"/>
      <c r="Z47" s="407">
        <f>COUNTIF(AA2:AA40,"&gt;0")</f>
        <v>39</v>
      </c>
      <c r="AA47" s="402"/>
      <c r="AB47" s="403"/>
      <c r="AC47" s="407">
        <f>COUNTIF(AD2:AD40,"&gt;0")</f>
        <v>39</v>
      </c>
      <c r="AD47" s="399"/>
      <c r="AE47" s="403"/>
      <c r="AF47" s="398"/>
      <c r="AG47" s="429">
        <f>COUNTIF(AH2:AH40,"&gt;0")</f>
        <v>11</v>
      </c>
      <c r="AH47" s="399"/>
      <c r="AI47" s="403"/>
    </row>
    <row r="48" spans="1:35" s="257" customFormat="1" ht="12">
      <c r="A48" s="391" t="s">
        <v>313</v>
      </c>
      <c r="B48" s="407">
        <f>COUNTIF(B2:B40,"=&lt;")</f>
        <v>14</v>
      </c>
      <c r="C48" s="402"/>
      <c r="D48" s="403"/>
      <c r="E48" s="407">
        <f>COUNTIF(E2:E40,"=&lt;")</f>
        <v>16</v>
      </c>
      <c r="F48" s="402"/>
      <c r="G48" s="403"/>
      <c r="H48" s="407">
        <f>COUNTIF(H2:H40,"=&lt;")</f>
        <v>16</v>
      </c>
      <c r="I48" s="402"/>
      <c r="J48" s="403"/>
      <c r="K48" s="407">
        <f>COUNTIF(K2:K40,"=&lt;")</f>
        <v>0</v>
      </c>
      <c r="L48" s="402"/>
      <c r="M48" s="403"/>
      <c r="N48" s="407">
        <f>COUNTIF(N2:N40,"=&lt;")</f>
        <v>6</v>
      </c>
      <c r="O48" s="402"/>
      <c r="P48" s="403"/>
      <c r="Q48" s="407">
        <f>COUNTIF(Q2:Q40,"=&lt;")</f>
        <v>0</v>
      </c>
      <c r="R48" s="399"/>
      <c r="S48" s="403"/>
      <c r="T48" s="407">
        <f>COUNTIF(T2:T40,"=&lt;")</f>
        <v>5</v>
      </c>
      <c r="U48" s="402"/>
      <c r="V48" s="403"/>
      <c r="W48" s="407">
        <f>COUNTIF(W2:W40,"=&lt;")</f>
        <v>30</v>
      </c>
      <c r="X48" s="402"/>
      <c r="Y48" s="403"/>
      <c r="Z48" s="407">
        <f>COUNTIF(Z2:Z40,"=&lt;")</f>
        <v>30</v>
      </c>
      <c r="AA48" s="402"/>
      <c r="AB48" s="403"/>
      <c r="AC48" s="407">
        <f>COUNTIF(AC2:AC40,"=&lt;")</f>
        <v>0</v>
      </c>
      <c r="AD48" s="399"/>
      <c r="AE48" s="403"/>
      <c r="AF48" s="398"/>
      <c r="AG48" s="429">
        <f>COUNTIF(AG2:AG40,"=&lt;")</f>
        <v>10</v>
      </c>
      <c r="AH48" s="399"/>
      <c r="AI48" s="403"/>
    </row>
    <row r="49" spans="1:35" s="257" customFormat="1" ht="12">
      <c r="A49" s="392" t="s">
        <v>314</v>
      </c>
      <c r="B49" s="408">
        <f>100*B48/B47</f>
        <v>35.8974358974359</v>
      </c>
      <c r="C49" s="402"/>
      <c r="D49" s="403"/>
      <c r="E49" s="408">
        <f>100*E48/E47</f>
        <v>41.02564102564103</v>
      </c>
      <c r="F49" s="402"/>
      <c r="G49" s="403"/>
      <c r="H49" s="408">
        <f>100*H48/H47</f>
        <v>41.02564102564103</v>
      </c>
      <c r="I49" s="402"/>
      <c r="J49" s="403"/>
      <c r="K49" s="408">
        <f>100*K48/K47</f>
        <v>0</v>
      </c>
      <c r="L49" s="402"/>
      <c r="M49" s="403"/>
      <c r="N49" s="408">
        <f>100*N48/N47</f>
        <v>15.789473684210526</v>
      </c>
      <c r="O49" s="402"/>
      <c r="P49" s="403"/>
      <c r="Q49" s="408">
        <f>100*Q48/Q47</f>
        <v>0</v>
      </c>
      <c r="R49" s="399"/>
      <c r="S49" s="403"/>
      <c r="T49" s="408">
        <f>100*T48/T47</f>
        <v>12.820512820512821</v>
      </c>
      <c r="U49" s="402"/>
      <c r="V49" s="403"/>
      <c r="W49" s="408">
        <f>100*W48/W47</f>
        <v>78.94736842105263</v>
      </c>
      <c r="X49" s="402"/>
      <c r="Y49" s="403"/>
      <c r="Z49" s="408">
        <f>100*Z48/Z47</f>
        <v>76.92307692307692</v>
      </c>
      <c r="AA49" s="402"/>
      <c r="AB49" s="403"/>
      <c r="AC49" s="408">
        <f>100*AC48/AC47</f>
        <v>0</v>
      </c>
      <c r="AD49" s="399"/>
      <c r="AE49" s="403"/>
      <c r="AF49" s="398"/>
      <c r="AG49" s="430">
        <f>100*AG48/AG47</f>
        <v>90.9090909090909</v>
      </c>
      <c r="AH49" s="399"/>
      <c r="AI49" s="403"/>
    </row>
    <row r="50" spans="1:35" s="257" customFormat="1" ht="12">
      <c r="A50" s="393" t="s">
        <v>315</v>
      </c>
      <c r="B50" s="409">
        <f>AVERAGE(D2:D40)</f>
        <v>2.1652769230769233</v>
      </c>
      <c r="C50" s="402"/>
      <c r="D50" s="403"/>
      <c r="E50" s="409">
        <f>AVERAGE(G2:G40)</f>
        <v>0.19011891891891897</v>
      </c>
      <c r="F50" s="402"/>
      <c r="G50" s="403"/>
      <c r="H50" s="409">
        <f>AVERAGE(J2:J40)</f>
        <v>0.8254794871794874</v>
      </c>
      <c r="I50" s="402"/>
      <c r="J50" s="403"/>
      <c r="K50" s="409">
        <f>AVERAGE(M2:M40)</f>
        <v>11.871638461538465</v>
      </c>
      <c r="L50" s="402"/>
      <c r="M50" s="403"/>
      <c r="N50" s="409">
        <f>AVERAGE(P2:P40)</f>
        <v>3.0689684210526322</v>
      </c>
      <c r="O50" s="402"/>
      <c r="P50" s="403"/>
      <c r="Q50" s="409">
        <f>AVERAGE(S2:S40)</f>
        <v>0.020122285714285714</v>
      </c>
      <c r="R50" s="399"/>
      <c r="S50" s="403"/>
      <c r="T50" s="409">
        <f>AVERAGE(V2:V40)</f>
        <v>2.113361538461538</v>
      </c>
      <c r="U50" s="402"/>
      <c r="V50" s="403"/>
      <c r="W50" s="409">
        <f>AVERAGE(Y2:Y40)</f>
        <v>0.35081052631578946</v>
      </c>
      <c r="X50" s="402"/>
      <c r="Y50" s="403"/>
      <c r="Z50" s="409">
        <f>AVERAGE(AB2:AB40)</f>
        <v>0.2438461538461538</v>
      </c>
      <c r="AA50" s="402"/>
      <c r="AB50" s="403"/>
      <c r="AC50" s="409">
        <f>AVERAGE(AE2:AE40)</f>
        <v>30.441041025641024</v>
      </c>
      <c r="AD50" s="399"/>
      <c r="AE50" s="403"/>
      <c r="AF50" s="398"/>
      <c r="AG50" s="431">
        <f>AVERAGE(AI2:AI40)</f>
        <v>2.9818181818181824</v>
      </c>
      <c r="AH50" s="399"/>
      <c r="AI50" s="403"/>
    </row>
    <row r="51" spans="1:35" s="257" customFormat="1" ht="12">
      <c r="A51" s="391" t="s">
        <v>316</v>
      </c>
      <c r="B51" s="410">
        <f>STDEV(D2:D40)</f>
        <v>1.298543674449743</v>
      </c>
      <c r="C51" s="402"/>
      <c r="D51" s="403"/>
      <c r="E51" s="410">
        <f>STDEV(G2:G40)</f>
        <v>0.18201777818822137</v>
      </c>
      <c r="F51" s="402"/>
      <c r="G51" s="403"/>
      <c r="H51" s="410">
        <f>STDEV(J2:J40)</f>
        <v>0.6466486283257074</v>
      </c>
      <c r="I51" s="402"/>
      <c r="J51" s="403"/>
      <c r="K51" s="410">
        <f>STDEV(M2:M40)</f>
        <v>3.4068199255406313</v>
      </c>
      <c r="L51" s="402"/>
      <c r="M51" s="403"/>
      <c r="N51" s="410">
        <f>STDEV(P2:P40)</f>
        <v>2.9392254558977684</v>
      </c>
      <c r="O51" s="402"/>
      <c r="P51" s="403"/>
      <c r="Q51" s="410">
        <f>STDEV(S2:S40)</f>
        <v>0.010212511094590926</v>
      </c>
      <c r="R51" s="399"/>
      <c r="S51" s="403"/>
      <c r="T51" s="410">
        <f>STDEV(V2:V40)</f>
        <v>1.0320739305973314</v>
      </c>
      <c r="U51" s="402"/>
      <c r="V51" s="403"/>
      <c r="W51" s="410">
        <f>STDEV(Y2:Y40)</f>
        <v>0.22657665225186255</v>
      </c>
      <c r="X51" s="402"/>
      <c r="Y51" s="403"/>
      <c r="Z51" s="410">
        <f>STDEV(AB2:AB40)</f>
        <v>0.48238126646338364</v>
      </c>
      <c r="AA51" s="402"/>
      <c r="AB51" s="403"/>
      <c r="AC51" s="410">
        <f>STDEV(AE2:AE40)</f>
        <v>9.456182634594132</v>
      </c>
      <c r="AD51" s="399"/>
      <c r="AE51" s="403"/>
      <c r="AF51" s="398"/>
      <c r="AG51" s="410">
        <f>STDEV(AI2:AI40)</f>
        <v>1.4661638256471754</v>
      </c>
      <c r="AH51" s="399"/>
      <c r="AI51" s="403"/>
    </row>
    <row r="52" spans="1:35" s="257" customFormat="1" ht="12">
      <c r="A52" s="394" t="s">
        <v>317</v>
      </c>
      <c r="B52" s="411" t="str">
        <f>IF(B49&lt;80,"calc","default")</f>
        <v>calc</v>
      </c>
      <c r="C52" s="412">
        <f>IF(B52="calc",B51/B50,0.6)</f>
        <v>0.5997125174199305</v>
      </c>
      <c r="D52" s="413"/>
      <c r="E52" s="411" t="str">
        <f>IF(E49&lt;80,"calc","default")</f>
        <v>calc</v>
      </c>
      <c r="F52" s="412">
        <f>IF(E52="calc",E51/E50,0.6)</f>
        <v>0.9573890869106376</v>
      </c>
      <c r="G52" s="413"/>
      <c r="H52" s="411" t="str">
        <f>IF(H49&lt;80,"calc","default")</f>
        <v>calc</v>
      </c>
      <c r="I52" s="412">
        <f>IF(H52="calc",H51/H50,0.6)</f>
        <v>0.7833612323126133</v>
      </c>
      <c r="J52" s="413"/>
      <c r="K52" s="411" t="str">
        <f>IF(K49&lt;80,"calc","default")</f>
        <v>calc</v>
      </c>
      <c r="L52" s="412">
        <f>IF(K52="calc",K51/K50,0.6)</f>
        <v>0.2869713339551225</v>
      </c>
      <c r="M52" s="413"/>
      <c r="N52" s="411" t="str">
        <f>IF(N49&lt;80,"calc","default")</f>
        <v>calc</v>
      </c>
      <c r="O52" s="412">
        <f>IF(N52="calc",N51/N50,0.6)</f>
        <v>0.957724242365986</v>
      </c>
      <c r="P52" s="413"/>
      <c r="Q52" s="411" t="str">
        <f>IF(Q49&lt;80,"calc","default")</f>
        <v>calc</v>
      </c>
      <c r="R52" s="412">
        <f>IF(Q52="calc",Q51/Q50,0.6)</f>
        <v>0.5075224176615585</v>
      </c>
      <c r="S52" s="413"/>
      <c r="T52" s="411" t="str">
        <f>IF(T49&lt;80,"calc","default")</f>
        <v>calc</v>
      </c>
      <c r="U52" s="412">
        <f>IF(T52="calc",T51/T50,0.6)</f>
        <v>0.4883565409014917</v>
      </c>
      <c r="V52" s="413"/>
      <c r="W52" s="411" t="str">
        <f>IF(W49&lt;80,"calc","default")</f>
        <v>calc</v>
      </c>
      <c r="X52" s="412">
        <f>IF(W52="calc",W51/W50,0.6)</f>
        <v>0.6458661734907716</v>
      </c>
      <c r="Y52" s="413"/>
      <c r="Z52" s="411" t="str">
        <f>IF(Z49&lt;80,"calc","default")</f>
        <v>calc</v>
      </c>
      <c r="AA52" s="412">
        <f>IF(Z52="calc",Z51/Z50,0.6)</f>
        <v>1.9782197047394285</v>
      </c>
      <c r="AB52" s="413"/>
      <c r="AC52" s="411" t="s">
        <v>558</v>
      </c>
      <c r="AD52" s="412">
        <f>IF(AC52="calc",AC51/AC50,0.6)</f>
        <v>0.6</v>
      </c>
      <c r="AE52" s="413"/>
      <c r="AF52" s="432"/>
      <c r="AG52" s="412" t="str">
        <f>IF(AG49&lt;80,"calc","default")</f>
        <v>default</v>
      </c>
      <c r="AH52" s="412">
        <f>IF(AG52="calc",AG51/AG50,0.6)</f>
        <v>0.6</v>
      </c>
      <c r="AI52" s="433"/>
    </row>
  </sheetData>
  <printOptions gridLines="1"/>
  <pageMargins left="0.25" right="0.25" top="1" bottom="1" header="0.5" footer="0.5"/>
  <pageSetup fitToHeight="1" fitToWidth="1" horizontalDpi="600" verticalDpi="600" orientation="landscape" scale="48" r:id="rId3"/>
  <headerFooter alignWithMargins="0">
    <oddHeader>&amp;CEffluent Monitoring Data (Metals)
U.S. Navy, Naval Support Activity
Treasure Island</oddHeader>
    <oddFooter>&amp;C&amp;P of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2"/>
  <sheetViews>
    <sheetView workbookViewId="0" topLeftCell="A1">
      <pane xSplit="2" topLeftCell="AD1" activePane="topRight" state="frozen"/>
      <selection pane="topLeft" activeCell="A4" sqref="A4"/>
      <selection pane="topRight" activeCell="B9" sqref="B9"/>
    </sheetView>
  </sheetViews>
  <sheetFormatPr defaultColWidth="9.140625" defaultRowHeight="12.75"/>
  <cols>
    <col min="1" max="1" width="7.57421875" style="230" bestFit="1" customWidth="1"/>
    <col min="2" max="2" width="25.140625" style="23" bestFit="1" customWidth="1"/>
    <col min="3" max="3" width="3.57421875" style="230" bestFit="1" customWidth="1"/>
    <col min="4" max="4" width="6.00390625" style="230" bestFit="1" customWidth="1"/>
    <col min="5" max="5" width="3.57421875" style="230" bestFit="1" customWidth="1"/>
    <col min="6" max="6" width="6.7109375" style="230" bestFit="1" customWidth="1"/>
    <col min="7" max="7" width="5.7109375" style="230" customWidth="1"/>
    <col min="8" max="8" width="6.57421875" style="230" bestFit="1" customWidth="1"/>
    <col min="9" max="9" width="6.57421875" style="230" customWidth="1"/>
    <col min="10" max="10" width="11.28125" style="230" customWidth="1"/>
    <col min="11" max="11" width="6.57421875" style="230" customWidth="1"/>
    <col min="12" max="12" width="8.140625" style="230" customWidth="1"/>
    <col min="13" max="13" width="6.57421875" style="230" customWidth="1"/>
    <col min="14" max="14" width="10.140625" style="230" customWidth="1"/>
    <col min="15" max="15" width="3.57421875" style="230" bestFit="1" customWidth="1"/>
    <col min="16" max="16" width="10.00390625" style="230" bestFit="1" customWidth="1"/>
    <col min="17" max="17" width="3.57421875" style="230" customWidth="1"/>
    <col min="18" max="18" width="10.00390625" style="230" customWidth="1"/>
    <col min="19" max="19" width="3.57421875" style="230" customWidth="1"/>
    <col min="20" max="20" width="10.00390625" style="230" customWidth="1"/>
    <col min="21" max="21" width="3.57421875" style="230" customWidth="1"/>
    <col min="22" max="22" width="10.00390625" style="230" customWidth="1"/>
    <col min="23" max="23" width="3.57421875" style="230" customWidth="1"/>
    <col min="24" max="24" width="10.00390625" style="230" customWidth="1"/>
    <col min="25" max="25" width="3.57421875" style="230" customWidth="1"/>
    <col min="26" max="26" width="10.00390625" style="230" customWidth="1"/>
    <col min="27" max="27" width="3.57421875" style="230" customWidth="1"/>
    <col min="28" max="28" width="10.00390625" style="230" customWidth="1"/>
    <col min="29" max="29" width="3.57421875" style="230" customWidth="1"/>
    <col min="30" max="30" width="10.00390625" style="230" customWidth="1"/>
    <col min="31" max="31" width="3.57421875" style="230" customWidth="1"/>
    <col min="32" max="32" width="10.57421875" style="230" customWidth="1"/>
    <col min="33" max="33" width="3.57421875" style="230" bestFit="1" customWidth="1"/>
    <col min="34" max="34" width="10.140625" style="230" bestFit="1" customWidth="1"/>
    <col min="35" max="35" width="3.57421875" style="230" customWidth="1"/>
    <col min="36" max="36" width="11.421875" style="230" bestFit="1" customWidth="1"/>
    <col min="37" max="38" width="11.421875" style="230" customWidth="1"/>
    <col min="39" max="39" width="4.7109375" style="230" customWidth="1"/>
    <col min="40" max="40" width="17.7109375" style="230" bestFit="1" customWidth="1"/>
    <col min="41" max="41" width="2.28125" style="230" customWidth="1"/>
    <col min="42" max="16384" width="15.7109375" style="23" customWidth="1"/>
  </cols>
  <sheetData>
    <row r="1" spans="1:42" s="226" customFormat="1" ht="12">
      <c r="A1" s="223" t="s">
        <v>276</v>
      </c>
      <c r="B1" s="223" t="s">
        <v>318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457"/>
    </row>
    <row r="2" spans="1:42" ht="12">
      <c r="A2" s="224"/>
      <c r="B2" s="225"/>
      <c r="C2" s="224" t="s">
        <v>294</v>
      </c>
      <c r="D2" s="458">
        <v>35247</v>
      </c>
      <c r="E2" s="459" t="s">
        <v>294</v>
      </c>
      <c r="F2" s="458">
        <v>35309</v>
      </c>
      <c r="G2" s="224" t="s">
        <v>294</v>
      </c>
      <c r="H2" s="458">
        <v>35370</v>
      </c>
      <c r="I2" s="224" t="s">
        <v>294</v>
      </c>
      <c r="J2" s="458">
        <v>36526</v>
      </c>
      <c r="K2" s="224" t="s">
        <v>294</v>
      </c>
      <c r="L2" s="458">
        <v>36557</v>
      </c>
      <c r="M2" s="224" t="s">
        <v>294</v>
      </c>
      <c r="N2" s="458">
        <v>36647</v>
      </c>
      <c r="O2" s="224"/>
      <c r="P2" s="460">
        <v>36410</v>
      </c>
      <c r="Q2" s="224"/>
      <c r="R2" s="460">
        <v>36782</v>
      </c>
      <c r="S2" s="224"/>
      <c r="T2" s="460">
        <v>36937</v>
      </c>
      <c r="U2" s="224"/>
      <c r="V2" s="460">
        <v>36955</v>
      </c>
      <c r="W2" s="224"/>
      <c r="X2" s="460">
        <v>37119</v>
      </c>
      <c r="Y2" s="224"/>
      <c r="Z2" s="460">
        <v>37196</v>
      </c>
      <c r="AA2" s="224"/>
      <c r="AB2" s="460">
        <v>37243</v>
      </c>
      <c r="AC2" s="224"/>
      <c r="AD2" s="460">
        <v>37332</v>
      </c>
      <c r="AE2" s="224"/>
      <c r="AF2" s="460">
        <v>37521</v>
      </c>
      <c r="AG2" s="224"/>
      <c r="AH2" s="460">
        <v>37591</v>
      </c>
      <c r="AI2" s="224"/>
      <c r="AJ2" s="460">
        <v>37671</v>
      </c>
      <c r="AK2" s="460"/>
      <c r="AL2" s="460"/>
      <c r="AM2" s="224"/>
      <c r="AN2" s="223" t="s">
        <v>319</v>
      </c>
      <c r="AO2" s="223"/>
      <c r="AP2" s="457" t="s">
        <v>403</v>
      </c>
    </row>
    <row r="3" spans="1:42" ht="12">
      <c r="A3" s="224"/>
      <c r="B3" s="225"/>
      <c r="C3" s="224"/>
      <c r="D3" s="224" t="s">
        <v>198</v>
      </c>
      <c r="E3" s="224"/>
      <c r="F3" s="224" t="s">
        <v>198</v>
      </c>
      <c r="G3" s="224"/>
      <c r="H3" s="224" t="s">
        <v>198</v>
      </c>
      <c r="I3" s="224"/>
      <c r="J3" s="224" t="s">
        <v>198</v>
      </c>
      <c r="K3" s="224"/>
      <c r="L3" s="224" t="s">
        <v>198</v>
      </c>
      <c r="M3" s="224"/>
      <c r="N3" s="224" t="s">
        <v>198</v>
      </c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5"/>
    </row>
    <row r="4" spans="1:42" ht="12">
      <c r="A4" s="224">
        <v>16</v>
      </c>
      <c r="B4" s="225" t="s">
        <v>335</v>
      </c>
      <c r="C4" s="224"/>
      <c r="D4" s="224" t="s">
        <v>321</v>
      </c>
      <c r="E4" s="224"/>
      <c r="F4" s="224" t="s">
        <v>321</v>
      </c>
      <c r="G4" s="224"/>
      <c r="H4" s="224" t="s">
        <v>321</v>
      </c>
      <c r="I4" s="224" t="s">
        <v>272</v>
      </c>
      <c r="J4" s="461">
        <v>6.2E-06</v>
      </c>
      <c r="K4" s="224"/>
      <c r="L4" s="224" t="s">
        <v>321</v>
      </c>
      <c r="M4" s="224" t="s">
        <v>272</v>
      </c>
      <c r="N4" s="462">
        <v>3.9E-05</v>
      </c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 t="s">
        <v>272</v>
      </c>
      <c r="AN4" s="461">
        <v>6.2E-06</v>
      </c>
      <c r="AO4" s="461"/>
      <c r="AP4" s="225"/>
    </row>
    <row r="5" spans="1:42" ht="12">
      <c r="A5" s="224">
        <v>19</v>
      </c>
      <c r="B5" s="225" t="s">
        <v>32</v>
      </c>
      <c r="C5" s="224" t="s">
        <v>272</v>
      </c>
      <c r="D5" s="224">
        <v>2</v>
      </c>
      <c r="E5" s="224" t="s">
        <v>272</v>
      </c>
      <c r="F5" s="224">
        <v>2</v>
      </c>
      <c r="G5" s="224" t="s">
        <v>272</v>
      </c>
      <c r="H5" s="224">
        <v>2</v>
      </c>
      <c r="I5" s="224" t="s">
        <v>272</v>
      </c>
      <c r="J5" s="224">
        <v>1</v>
      </c>
      <c r="K5" s="224" t="s">
        <v>272</v>
      </c>
      <c r="L5" s="224">
        <v>1</v>
      </c>
      <c r="M5" s="224" t="s">
        <v>272</v>
      </c>
      <c r="N5" s="224">
        <v>1</v>
      </c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 t="s">
        <v>272</v>
      </c>
      <c r="AN5" s="224">
        <v>1</v>
      </c>
      <c r="AO5" s="224"/>
      <c r="AP5" s="225"/>
    </row>
    <row r="6" spans="1:42" ht="12">
      <c r="A6" s="224">
        <v>26</v>
      </c>
      <c r="B6" s="225" t="s">
        <v>39</v>
      </c>
      <c r="C6" s="224" t="s">
        <v>272</v>
      </c>
      <c r="D6" s="224">
        <v>2</v>
      </c>
      <c r="E6" s="224" t="s">
        <v>272</v>
      </c>
      <c r="F6" s="224">
        <v>2</v>
      </c>
      <c r="G6" s="224" t="s">
        <v>272</v>
      </c>
      <c r="H6" s="224">
        <v>2</v>
      </c>
      <c r="I6" s="224" t="s">
        <v>272</v>
      </c>
      <c r="J6" s="224">
        <v>1</v>
      </c>
      <c r="K6" s="224" t="s">
        <v>272</v>
      </c>
      <c r="L6" s="224">
        <v>1</v>
      </c>
      <c r="M6" s="224"/>
      <c r="N6" s="223">
        <v>5.8</v>
      </c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3">
        <v>5.8</v>
      </c>
      <c r="AO6" s="224"/>
      <c r="AP6" s="225"/>
    </row>
    <row r="7" spans="1:42" ht="12">
      <c r="A7" s="224">
        <v>36</v>
      </c>
      <c r="B7" s="225" t="s">
        <v>328</v>
      </c>
      <c r="C7" s="224" t="s">
        <v>272</v>
      </c>
      <c r="D7" s="224">
        <v>5</v>
      </c>
      <c r="E7" s="224" t="s">
        <v>272</v>
      </c>
      <c r="F7" s="224">
        <v>5</v>
      </c>
      <c r="G7" s="224" t="s">
        <v>272</v>
      </c>
      <c r="H7" s="224">
        <v>5</v>
      </c>
      <c r="I7" s="224" t="s">
        <v>272</v>
      </c>
      <c r="J7" s="224">
        <v>1</v>
      </c>
      <c r="K7" s="224" t="s">
        <v>272</v>
      </c>
      <c r="L7" s="224">
        <v>1</v>
      </c>
      <c r="M7" s="224" t="s">
        <v>272</v>
      </c>
      <c r="N7" s="224">
        <v>6</v>
      </c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 t="s">
        <v>272</v>
      </c>
      <c r="AN7" s="224">
        <v>1</v>
      </c>
      <c r="AO7" s="224"/>
      <c r="AP7" s="225"/>
    </row>
    <row r="8" spans="1:42" ht="12">
      <c r="A8" s="224">
        <v>39</v>
      </c>
      <c r="B8" s="225" t="s">
        <v>52</v>
      </c>
      <c r="C8" s="224" t="s">
        <v>272</v>
      </c>
      <c r="D8" s="224">
        <v>2</v>
      </c>
      <c r="E8" s="224" t="s">
        <v>272</v>
      </c>
      <c r="F8" s="224">
        <v>2</v>
      </c>
      <c r="G8" s="224" t="s">
        <v>272</v>
      </c>
      <c r="H8" s="224">
        <v>2</v>
      </c>
      <c r="I8" s="224" t="s">
        <v>272</v>
      </c>
      <c r="J8" s="224">
        <v>1</v>
      </c>
      <c r="K8" s="224" t="s">
        <v>272</v>
      </c>
      <c r="L8" s="224">
        <v>5</v>
      </c>
      <c r="M8" s="224" t="s">
        <v>272</v>
      </c>
      <c r="N8" s="224">
        <v>1</v>
      </c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 t="s">
        <v>272</v>
      </c>
      <c r="AN8" s="224">
        <v>1</v>
      </c>
      <c r="AO8" s="224"/>
      <c r="AP8" s="225"/>
    </row>
    <row r="9" spans="1:42" ht="12">
      <c r="A9" s="224">
        <v>53</v>
      </c>
      <c r="B9" s="225" t="s">
        <v>66</v>
      </c>
      <c r="C9" s="224"/>
      <c r="D9" s="224" t="s">
        <v>321</v>
      </c>
      <c r="E9" s="224" t="s">
        <v>272</v>
      </c>
      <c r="F9" s="224">
        <v>10</v>
      </c>
      <c r="G9" s="224" t="s">
        <v>272</v>
      </c>
      <c r="H9" s="224">
        <v>0.5</v>
      </c>
      <c r="I9" s="224"/>
      <c r="J9" s="224" t="s">
        <v>321</v>
      </c>
      <c r="K9" s="224" t="s">
        <v>272</v>
      </c>
      <c r="L9" s="224">
        <v>10</v>
      </c>
      <c r="M9" s="224"/>
      <c r="N9" s="224" t="s">
        <v>321</v>
      </c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 t="s">
        <v>272</v>
      </c>
      <c r="AN9" s="224">
        <v>0.5</v>
      </c>
      <c r="AO9" s="224"/>
      <c r="AP9" s="225"/>
    </row>
    <row r="10" spans="1:42" ht="12">
      <c r="A10" s="224">
        <v>55</v>
      </c>
      <c r="B10" s="225" t="s">
        <v>324</v>
      </c>
      <c r="C10" s="224"/>
      <c r="D10" s="224" t="s">
        <v>321</v>
      </c>
      <c r="E10" s="224"/>
      <c r="F10" s="224" t="s">
        <v>321</v>
      </c>
      <c r="G10" s="224"/>
      <c r="H10" s="224" t="s">
        <v>321</v>
      </c>
      <c r="I10" s="224"/>
      <c r="J10" s="224" t="s">
        <v>321</v>
      </c>
      <c r="K10" s="224"/>
      <c r="L10" s="224" t="s">
        <v>321</v>
      </c>
      <c r="M10" s="224"/>
      <c r="N10" s="224" t="s">
        <v>321</v>
      </c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 t="s">
        <v>321</v>
      </c>
      <c r="AO10" s="224"/>
      <c r="AP10" s="225"/>
    </row>
    <row r="11" spans="1:42" ht="12">
      <c r="A11" s="224">
        <v>75</v>
      </c>
      <c r="B11" s="225" t="s">
        <v>320</v>
      </c>
      <c r="C11" s="224"/>
      <c r="D11" s="224" t="s">
        <v>321</v>
      </c>
      <c r="E11" s="224" t="s">
        <v>272</v>
      </c>
      <c r="F11" s="224">
        <v>5</v>
      </c>
      <c r="G11" s="225"/>
      <c r="H11" s="224" t="s">
        <v>321</v>
      </c>
      <c r="I11" s="224" t="s">
        <v>272</v>
      </c>
      <c r="J11" s="224">
        <v>1</v>
      </c>
      <c r="K11" s="224" t="s">
        <v>272</v>
      </c>
      <c r="L11" s="224">
        <v>5</v>
      </c>
      <c r="M11" s="224" t="s">
        <v>272</v>
      </c>
      <c r="N11" s="224">
        <v>1</v>
      </c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 t="s">
        <v>272</v>
      </c>
      <c r="AN11" s="224">
        <v>1</v>
      </c>
      <c r="AO11" s="224"/>
      <c r="AP11" s="225"/>
    </row>
    <row r="12" spans="1:42" ht="12">
      <c r="A12" s="224">
        <v>76</v>
      </c>
      <c r="B12" s="225" t="s">
        <v>322</v>
      </c>
      <c r="C12" s="224"/>
      <c r="D12" s="224" t="s">
        <v>321</v>
      </c>
      <c r="E12" s="224" t="s">
        <v>272</v>
      </c>
      <c r="F12" s="224">
        <v>5</v>
      </c>
      <c r="G12" s="224"/>
      <c r="H12" s="224" t="s">
        <v>321</v>
      </c>
      <c r="I12" s="224" t="s">
        <v>272</v>
      </c>
      <c r="J12" s="224">
        <v>1</v>
      </c>
      <c r="K12" s="224" t="s">
        <v>272</v>
      </c>
      <c r="L12" s="224">
        <v>5</v>
      </c>
      <c r="M12" s="224" t="s">
        <v>272</v>
      </c>
      <c r="N12" s="224">
        <v>1</v>
      </c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 t="s">
        <v>272</v>
      </c>
      <c r="AN12" s="224">
        <v>1</v>
      </c>
      <c r="AO12" s="224"/>
      <c r="AP12" s="225"/>
    </row>
    <row r="13" spans="1:42" ht="12">
      <c r="A13" s="224">
        <v>77</v>
      </c>
      <c r="B13" s="225" t="s">
        <v>323</v>
      </c>
      <c r="C13" s="224"/>
      <c r="D13" s="224" t="s">
        <v>321</v>
      </c>
      <c r="E13" s="224" t="s">
        <v>272</v>
      </c>
      <c r="F13" s="224">
        <v>5</v>
      </c>
      <c r="G13" s="224"/>
      <c r="H13" s="224" t="s">
        <v>321</v>
      </c>
      <c r="I13" s="224" t="s">
        <v>272</v>
      </c>
      <c r="J13" s="224">
        <v>1</v>
      </c>
      <c r="K13" s="224" t="s">
        <v>272</v>
      </c>
      <c r="L13" s="224">
        <v>5</v>
      </c>
      <c r="M13" s="224" t="s">
        <v>272</v>
      </c>
      <c r="N13" s="224">
        <v>1</v>
      </c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 t="s">
        <v>272</v>
      </c>
      <c r="AN13" s="224">
        <v>1</v>
      </c>
      <c r="AO13" s="224"/>
      <c r="AP13" s="225"/>
    </row>
    <row r="14" spans="1:42" ht="12">
      <c r="A14" s="224">
        <v>86</v>
      </c>
      <c r="B14" s="225" t="s">
        <v>99</v>
      </c>
      <c r="C14" s="224"/>
      <c r="D14" s="224" t="s">
        <v>321</v>
      </c>
      <c r="E14" s="224"/>
      <c r="F14" s="224" t="s">
        <v>321</v>
      </c>
      <c r="G14" s="224"/>
      <c r="H14" s="224" t="s">
        <v>321</v>
      </c>
      <c r="I14" s="224"/>
      <c r="J14" s="224" t="s">
        <v>321</v>
      </c>
      <c r="K14" s="224"/>
      <c r="L14" s="224" t="s">
        <v>321</v>
      </c>
      <c r="M14" s="224"/>
      <c r="N14" s="224" t="s">
        <v>321</v>
      </c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 t="s">
        <v>321</v>
      </c>
      <c r="AO14" s="224"/>
      <c r="AP14" s="225"/>
    </row>
    <row r="15" spans="1:42" ht="12">
      <c r="A15" s="224">
        <v>88</v>
      </c>
      <c r="B15" s="225" t="s">
        <v>101</v>
      </c>
      <c r="C15" s="224"/>
      <c r="D15" s="224" t="s">
        <v>321</v>
      </c>
      <c r="E15" s="224" t="s">
        <v>272</v>
      </c>
      <c r="F15" s="224">
        <v>5</v>
      </c>
      <c r="G15" s="224"/>
      <c r="H15" s="224" t="s">
        <v>321</v>
      </c>
      <c r="I15" s="224"/>
      <c r="J15" s="224" t="s">
        <v>321</v>
      </c>
      <c r="K15" s="224" t="s">
        <v>272</v>
      </c>
      <c r="L15" s="224" t="s">
        <v>333</v>
      </c>
      <c r="M15" s="224" t="s">
        <v>272</v>
      </c>
      <c r="N15" s="224" t="s">
        <v>333</v>
      </c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 t="s">
        <v>272</v>
      </c>
      <c r="AN15" s="224">
        <v>5</v>
      </c>
      <c r="AO15" s="224"/>
      <c r="AP15" s="225"/>
    </row>
    <row r="16" spans="1:42" ht="12">
      <c r="A16" s="224">
        <v>102</v>
      </c>
      <c r="B16" s="463" t="s">
        <v>115</v>
      </c>
      <c r="C16" s="464"/>
      <c r="D16" s="465">
        <v>0.12</v>
      </c>
      <c r="E16" s="464" t="s">
        <v>272</v>
      </c>
      <c r="F16" s="464">
        <v>0.025</v>
      </c>
      <c r="G16" s="464" t="s">
        <v>272</v>
      </c>
      <c r="H16" s="464">
        <v>0.025</v>
      </c>
      <c r="I16" s="464" t="s">
        <v>272</v>
      </c>
      <c r="J16" s="464">
        <v>0.00222</v>
      </c>
      <c r="K16" s="464" t="s">
        <v>272</v>
      </c>
      <c r="L16" s="464">
        <v>0.00222</v>
      </c>
      <c r="M16" s="464" t="s">
        <v>272</v>
      </c>
      <c r="N16" s="464">
        <v>0.00222</v>
      </c>
      <c r="O16" s="464" t="s">
        <v>272</v>
      </c>
      <c r="P16" s="464">
        <v>0.00222</v>
      </c>
      <c r="Q16" s="464" t="s">
        <v>272</v>
      </c>
      <c r="R16" s="464">
        <v>0.00202</v>
      </c>
      <c r="S16" s="464" t="s">
        <v>272</v>
      </c>
      <c r="T16" s="464">
        <v>0.00202</v>
      </c>
      <c r="U16" s="464" t="s">
        <v>272</v>
      </c>
      <c r="V16" s="464">
        <v>0.00202</v>
      </c>
      <c r="W16" s="464" t="s">
        <v>272</v>
      </c>
      <c r="X16" s="464">
        <v>0.00202</v>
      </c>
      <c r="Y16" s="464" t="s">
        <v>272</v>
      </c>
      <c r="Z16" s="464">
        <v>0.00202</v>
      </c>
      <c r="AA16" s="464" t="s">
        <v>272</v>
      </c>
      <c r="AB16" s="464">
        <v>0.00202</v>
      </c>
      <c r="AC16" s="464" t="s">
        <v>272</v>
      </c>
      <c r="AD16" s="464">
        <v>0.00202</v>
      </c>
      <c r="AE16" s="464" t="s">
        <v>272</v>
      </c>
      <c r="AF16" s="464">
        <v>0.00202</v>
      </c>
      <c r="AG16" s="464" t="s">
        <v>272</v>
      </c>
      <c r="AH16" s="464">
        <v>0.00202</v>
      </c>
      <c r="AI16" s="464" t="s">
        <v>272</v>
      </c>
      <c r="AJ16" s="464">
        <v>0.00202</v>
      </c>
      <c r="AK16" s="464"/>
      <c r="AL16" s="464"/>
      <c r="AM16" s="464"/>
      <c r="AN16" s="465">
        <v>0.12</v>
      </c>
      <c r="AO16" s="466" t="s">
        <v>272</v>
      </c>
      <c r="AP16" s="467">
        <v>0.002</v>
      </c>
    </row>
    <row r="17" spans="1:42" ht="12">
      <c r="A17" s="224">
        <v>103</v>
      </c>
      <c r="B17" s="225" t="s">
        <v>325</v>
      </c>
      <c r="C17" s="224" t="s">
        <v>272</v>
      </c>
      <c r="D17" s="224">
        <v>0.025</v>
      </c>
      <c r="E17" s="224" t="s">
        <v>272</v>
      </c>
      <c r="F17" s="224">
        <v>0.025</v>
      </c>
      <c r="G17" s="224" t="s">
        <v>272</v>
      </c>
      <c r="H17" s="224">
        <v>0.025</v>
      </c>
      <c r="I17" s="224" t="s">
        <v>272</v>
      </c>
      <c r="J17" s="224">
        <v>0.00157</v>
      </c>
      <c r="K17" s="224" t="s">
        <v>272</v>
      </c>
      <c r="L17" s="224">
        <v>0.00157</v>
      </c>
      <c r="M17" s="224" t="s">
        <v>272</v>
      </c>
      <c r="N17" s="224">
        <v>0.00157</v>
      </c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 t="s">
        <v>272</v>
      </c>
      <c r="AN17" s="224">
        <v>0.00157</v>
      </c>
      <c r="AO17" s="224"/>
      <c r="AP17" s="225"/>
    </row>
    <row r="18" spans="1:42" ht="12">
      <c r="A18" s="224">
        <v>104</v>
      </c>
      <c r="B18" s="225" t="s">
        <v>326</v>
      </c>
      <c r="C18" s="224" t="s">
        <v>272</v>
      </c>
      <c r="D18" s="224">
        <v>0.025</v>
      </c>
      <c r="E18" s="224" t="s">
        <v>272</v>
      </c>
      <c r="F18" s="224">
        <v>0.025</v>
      </c>
      <c r="G18" s="224" t="s">
        <v>272</v>
      </c>
      <c r="H18" s="224">
        <v>0.025</v>
      </c>
      <c r="I18" s="224" t="s">
        <v>272</v>
      </c>
      <c r="J18" s="224">
        <v>0.00157</v>
      </c>
      <c r="K18" s="224" t="s">
        <v>272</v>
      </c>
      <c r="L18" s="224">
        <v>0.00157</v>
      </c>
      <c r="M18" s="224" t="s">
        <v>272</v>
      </c>
      <c r="N18" s="224">
        <v>0.00157</v>
      </c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 t="s">
        <v>272</v>
      </c>
      <c r="AN18" s="224">
        <v>0.00157</v>
      </c>
      <c r="AO18" s="224"/>
      <c r="AP18" s="225"/>
    </row>
    <row r="19" spans="1:42" ht="12">
      <c r="A19" s="224">
        <v>105</v>
      </c>
      <c r="B19" s="225" t="s">
        <v>331</v>
      </c>
      <c r="C19" s="224"/>
      <c r="D19" s="223">
        <v>0.026</v>
      </c>
      <c r="E19" s="224" t="s">
        <v>272</v>
      </c>
      <c r="F19" s="224">
        <v>0.025</v>
      </c>
      <c r="G19" s="224" t="s">
        <v>272</v>
      </c>
      <c r="H19" s="224">
        <v>0.025</v>
      </c>
      <c r="I19" s="224" t="s">
        <v>272</v>
      </c>
      <c r="J19" s="224">
        <v>0.00138</v>
      </c>
      <c r="K19" s="224" t="s">
        <v>272</v>
      </c>
      <c r="L19" s="224">
        <v>0.00138</v>
      </c>
      <c r="M19" s="224" t="s">
        <v>272</v>
      </c>
      <c r="N19" s="224">
        <v>0.00139</v>
      </c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3">
        <v>0.026</v>
      </c>
      <c r="AO19" s="224"/>
      <c r="AP19" s="225"/>
    </row>
    <row r="20" spans="1:42" ht="12">
      <c r="A20" s="224">
        <v>107</v>
      </c>
      <c r="B20" s="225" t="s">
        <v>220</v>
      </c>
      <c r="C20" s="224" t="s">
        <v>272</v>
      </c>
      <c r="D20" s="224">
        <v>0.5</v>
      </c>
      <c r="E20" s="224" t="s">
        <v>272</v>
      </c>
      <c r="F20" s="224">
        <v>0.5</v>
      </c>
      <c r="G20" s="224" t="s">
        <v>272</v>
      </c>
      <c r="H20" s="224">
        <v>0.5</v>
      </c>
      <c r="I20" s="224" t="s">
        <v>272</v>
      </c>
      <c r="J20" s="224">
        <v>0.0034</v>
      </c>
      <c r="K20" s="224" t="s">
        <v>272</v>
      </c>
      <c r="L20" s="224">
        <v>0.0034</v>
      </c>
      <c r="M20" s="224" t="s">
        <v>272</v>
      </c>
      <c r="N20" s="224">
        <v>0.0034</v>
      </c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 t="s">
        <v>272</v>
      </c>
      <c r="AN20" s="224">
        <v>0.0034</v>
      </c>
      <c r="AO20" s="224"/>
      <c r="AP20" s="225"/>
    </row>
    <row r="21" spans="1:42" ht="12">
      <c r="A21" s="224">
        <v>108</v>
      </c>
      <c r="B21" s="225" t="s">
        <v>327</v>
      </c>
      <c r="C21" s="224" t="s">
        <v>272</v>
      </c>
      <c r="D21" s="224">
        <v>0.15</v>
      </c>
      <c r="E21" s="224" t="s">
        <v>272</v>
      </c>
      <c r="F21" s="224">
        <v>0.15</v>
      </c>
      <c r="G21" s="224" t="s">
        <v>272</v>
      </c>
      <c r="H21" s="224">
        <v>0.15</v>
      </c>
      <c r="I21" s="224" t="s">
        <v>272</v>
      </c>
      <c r="J21" s="224">
        <v>0.00329</v>
      </c>
      <c r="K21" s="224" t="s">
        <v>272</v>
      </c>
      <c r="L21" s="224">
        <v>0.00329</v>
      </c>
      <c r="M21" s="224" t="s">
        <v>272</v>
      </c>
      <c r="N21" s="224">
        <v>0.00329</v>
      </c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 t="s">
        <v>272</v>
      </c>
      <c r="AN21" s="224">
        <v>0.00329</v>
      </c>
      <c r="AO21" s="224"/>
      <c r="AP21" s="225"/>
    </row>
    <row r="22" spans="1:42" ht="12">
      <c r="A22" s="224">
        <v>111</v>
      </c>
      <c r="B22" s="225" t="s">
        <v>224</v>
      </c>
      <c r="C22" s="224" t="s">
        <v>272</v>
      </c>
      <c r="D22" s="224">
        <v>0.05</v>
      </c>
      <c r="E22" s="224" t="s">
        <v>272</v>
      </c>
      <c r="F22" s="224">
        <v>0.05</v>
      </c>
      <c r="G22" s="224" t="s">
        <v>272</v>
      </c>
      <c r="H22" s="224">
        <v>0.05</v>
      </c>
      <c r="I22" s="224" t="s">
        <v>272</v>
      </c>
      <c r="J22" s="224">
        <v>0.00241</v>
      </c>
      <c r="K22" s="224" t="s">
        <v>272</v>
      </c>
      <c r="L22" s="224">
        <v>0.00241</v>
      </c>
      <c r="M22" s="224" t="s">
        <v>272</v>
      </c>
      <c r="N22" s="224">
        <v>0.00241</v>
      </c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 t="s">
        <v>272</v>
      </c>
      <c r="AN22" s="224">
        <v>0.00241</v>
      </c>
      <c r="AO22" s="224"/>
      <c r="AP22" s="225"/>
    </row>
    <row r="23" spans="1:42" ht="12">
      <c r="A23" s="224">
        <v>115</v>
      </c>
      <c r="B23" s="225" t="s">
        <v>128</v>
      </c>
      <c r="C23" s="224" t="s">
        <v>272</v>
      </c>
      <c r="D23" s="224">
        <v>0.05</v>
      </c>
      <c r="E23" s="224" t="s">
        <v>272</v>
      </c>
      <c r="F23" s="224">
        <v>0.05</v>
      </c>
      <c r="G23" s="224" t="s">
        <v>272</v>
      </c>
      <c r="H23" s="224">
        <v>0.05</v>
      </c>
      <c r="I23" s="224" t="s">
        <v>272</v>
      </c>
      <c r="J23" s="224">
        <v>0.0021</v>
      </c>
      <c r="K23" s="224" t="s">
        <v>272</v>
      </c>
      <c r="L23" s="224">
        <v>0.0021</v>
      </c>
      <c r="M23" s="224" t="s">
        <v>272</v>
      </c>
      <c r="N23" s="224">
        <v>0.0021</v>
      </c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 t="s">
        <v>272</v>
      </c>
      <c r="AN23" s="224">
        <v>0.0021</v>
      </c>
      <c r="AO23" s="224"/>
      <c r="AP23" s="225"/>
    </row>
    <row r="24" spans="1:42" ht="12">
      <c r="A24" s="224">
        <v>117</v>
      </c>
      <c r="B24" s="463" t="s">
        <v>130</v>
      </c>
      <c r="C24" s="464"/>
      <c r="D24" s="465">
        <v>0.041</v>
      </c>
      <c r="E24" s="464" t="s">
        <v>272</v>
      </c>
      <c r="F24" s="464">
        <v>0.025</v>
      </c>
      <c r="G24" s="464" t="s">
        <v>272</v>
      </c>
      <c r="H24" s="464">
        <v>0.025</v>
      </c>
      <c r="I24" s="464" t="s">
        <v>272</v>
      </c>
      <c r="J24" s="464">
        <v>0.00123</v>
      </c>
      <c r="K24" s="464" t="s">
        <v>272</v>
      </c>
      <c r="L24" s="464">
        <v>0.00123</v>
      </c>
      <c r="M24" s="464" t="s">
        <v>272</v>
      </c>
      <c r="N24" s="464">
        <v>0.00123</v>
      </c>
      <c r="O24" s="464" t="s">
        <v>272</v>
      </c>
      <c r="P24" s="464">
        <v>0.00123</v>
      </c>
      <c r="Q24" s="464" t="s">
        <v>272</v>
      </c>
      <c r="R24" s="464">
        <v>0.001</v>
      </c>
      <c r="S24" s="464" t="s">
        <v>272</v>
      </c>
      <c r="T24" s="464">
        <v>0.001</v>
      </c>
      <c r="U24" s="464" t="s">
        <v>272</v>
      </c>
      <c r="V24" s="464">
        <v>0.001</v>
      </c>
      <c r="W24" s="464" t="s">
        <v>272</v>
      </c>
      <c r="X24" s="464">
        <v>0.001</v>
      </c>
      <c r="Y24" s="464" t="s">
        <v>272</v>
      </c>
      <c r="Z24" s="464">
        <v>0.001</v>
      </c>
      <c r="AA24" s="468"/>
      <c r="AB24" s="468"/>
      <c r="AC24" s="464" t="s">
        <v>272</v>
      </c>
      <c r="AD24" s="464">
        <v>0.001</v>
      </c>
      <c r="AE24" s="464" t="s">
        <v>272</v>
      </c>
      <c r="AF24" s="464">
        <v>0.001</v>
      </c>
      <c r="AG24" s="464" t="s">
        <v>272</v>
      </c>
      <c r="AH24" s="464">
        <v>0.001</v>
      </c>
      <c r="AI24" s="464" t="s">
        <v>272</v>
      </c>
      <c r="AJ24" s="464">
        <v>0.001</v>
      </c>
      <c r="AK24" s="464"/>
      <c r="AL24" s="464"/>
      <c r="AM24" s="464"/>
      <c r="AN24" s="465">
        <v>0.041</v>
      </c>
      <c r="AO24" s="466" t="s">
        <v>272</v>
      </c>
      <c r="AP24" s="467">
        <v>0.001</v>
      </c>
    </row>
    <row r="25" spans="1:42" ht="12">
      <c r="A25" s="224">
        <v>118</v>
      </c>
      <c r="B25" s="225" t="s">
        <v>131</v>
      </c>
      <c r="C25" s="224" t="s">
        <v>272</v>
      </c>
      <c r="D25" s="224">
        <v>0.025</v>
      </c>
      <c r="E25" s="224" t="s">
        <v>272</v>
      </c>
      <c r="F25" s="224">
        <v>0.025</v>
      </c>
      <c r="G25" s="224" t="s">
        <v>272</v>
      </c>
      <c r="H25" s="224">
        <v>0.025</v>
      </c>
      <c r="I25" s="224" t="s">
        <v>272</v>
      </c>
      <c r="J25" s="224">
        <v>0.00189</v>
      </c>
      <c r="K25" s="224" t="s">
        <v>272</v>
      </c>
      <c r="L25" s="224">
        <v>0.00189</v>
      </c>
      <c r="M25" s="224" t="s">
        <v>272</v>
      </c>
      <c r="N25" s="224">
        <v>0.00189</v>
      </c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 t="s">
        <v>272</v>
      </c>
      <c r="AN25" s="224">
        <v>0.00189</v>
      </c>
      <c r="AO25" s="224"/>
      <c r="AP25" s="225"/>
    </row>
    <row r="26" spans="1:42" ht="12">
      <c r="A26" s="224">
        <v>126</v>
      </c>
      <c r="B26" s="225" t="s">
        <v>132</v>
      </c>
      <c r="C26" s="224" t="s">
        <v>272</v>
      </c>
      <c r="D26" s="224">
        <v>2</v>
      </c>
      <c r="E26" s="224" t="s">
        <v>272</v>
      </c>
      <c r="F26" s="224">
        <v>2</v>
      </c>
      <c r="G26" s="224" t="s">
        <v>272</v>
      </c>
      <c r="H26" s="224">
        <v>2</v>
      </c>
      <c r="I26" s="224" t="s">
        <v>272</v>
      </c>
      <c r="J26" s="224">
        <v>0.035</v>
      </c>
      <c r="K26" s="224" t="s">
        <v>272</v>
      </c>
      <c r="L26" s="224">
        <v>0.035</v>
      </c>
      <c r="M26" s="224" t="s">
        <v>272</v>
      </c>
      <c r="N26" s="224">
        <v>0.035</v>
      </c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 t="s">
        <v>272</v>
      </c>
      <c r="AN26" s="224">
        <v>0.035</v>
      </c>
      <c r="AO26" s="224"/>
      <c r="AP26" s="225"/>
    </row>
    <row r="27" spans="1:42" ht="12">
      <c r="A27" s="224" t="s">
        <v>329</v>
      </c>
      <c r="B27" s="225" t="s">
        <v>330</v>
      </c>
      <c r="C27" s="224" t="s">
        <v>272</v>
      </c>
      <c r="D27" s="224">
        <v>0.1</v>
      </c>
      <c r="E27" s="224" t="s">
        <v>272</v>
      </c>
      <c r="F27" s="224">
        <v>0.1</v>
      </c>
      <c r="G27" s="224" t="s">
        <v>272</v>
      </c>
      <c r="H27" s="224">
        <v>0.1</v>
      </c>
      <c r="I27" s="224" t="s">
        <v>272</v>
      </c>
      <c r="J27" s="224">
        <v>0.00446</v>
      </c>
      <c r="K27" s="224" t="s">
        <v>272</v>
      </c>
      <c r="L27" s="224">
        <v>0.00446</v>
      </c>
      <c r="M27" s="224" t="s">
        <v>272</v>
      </c>
      <c r="N27" s="224">
        <v>0.00446</v>
      </c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 t="s">
        <v>272</v>
      </c>
      <c r="AN27" s="224">
        <v>0.00446</v>
      </c>
      <c r="AO27" s="224"/>
      <c r="AP27" s="225"/>
    </row>
    <row r="28" spans="1:42" ht="12">
      <c r="A28" s="224" t="s">
        <v>227</v>
      </c>
      <c r="B28" s="225" t="s">
        <v>334</v>
      </c>
      <c r="C28" s="224" t="s">
        <v>272</v>
      </c>
      <c r="D28" s="224">
        <v>5</v>
      </c>
      <c r="E28" s="224" t="s">
        <v>272</v>
      </c>
      <c r="F28" s="224">
        <v>5</v>
      </c>
      <c r="G28" s="224" t="s">
        <v>272</v>
      </c>
      <c r="H28" s="224">
        <v>5</v>
      </c>
      <c r="I28" s="224" t="s">
        <v>272</v>
      </c>
      <c r="J28" s="224">
        <v>0.1</v>
      </c>
      <c r="K28" s="224" t="s">
        <v>272</v>
      </c>
      <c r="L28" s="224">
        <v>0.1</v>
      </c>
      <c r="M28" s="224" t="s">
        <v>272</v>
      </c>
      <c r="N28" s="224">
        <v>0.1</v>
      </c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 t="s">
        <v>272</v>
      </c>
      <c r="AN28" s="224">
        <v>0.1</v>
      </c>
      <c r="AO28" s="224"/>
      <c r="AP28" s="225"/>
    </row>
    <row r="29" spans="1:42" ht="12">
      <c r="A29" s="224"/>
      <c r="B29" s="225" t="s">
        <v>332</v>
      </c>
      <c r="C29" s="224"/>
      <c r="D29" s="224" t="s">
        <v>321</v>
      </c>
      <c r="E29" s="224"/>
      <c r="F29" s="224" t="s">
        <v>321</v>
      </c>
      <c r="G29" s="224"/>
      <c r="H29" s="224" t="s">
        <v>321</v>
      </c>
      <c r="I29" s="224"/>
      <c r="J29" s="469">
        <v>77.1</v>
      </c>
      <c r="K29" s="468"/>
      <c r="L29" s="469">
        <v>96.8</v>
      </c>
      <c r="M29" s="468"/>
      <c r="N29" s="469">
        <v>134</v>
      </c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469">
        <v>134</v>
      </c>
      <c r="AO29" s="468"/>
      <c r="AP29" s="225"/>
    </row>
    <row r="30" spans="1:42" ht="12">
      <c r="A30" s="224"/>
      <c r="B30" s="225" t="s">
        <v>229</v>
      </c>
      <c r="C30" s="224"/>
      <c r="D30" s="224" t="s">
        <v>321</v>
      </c>
      <c r="E30" s="224"/>
      <c r="F30" s="224" t="s">
        <v>321</v>
      </c>
      <c r="G30" s="224"/>
      <c r="H30" s="224" t="s">
        <v>321</v>
      </c>
      <c r="I30" s="224"/>
      <c r="J30" s="223">
        <v>0.004</v>
      </c>
      <c r="K30" s="224"/>
      <c r="L30" s="224" t="s">
        <v>321</v>
      </c>
      <c r="M30" s="224"/>
      <c r="N30" s="223">
        <v>0.005</v>
      </c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3">
        <v>0.005</v>
      </c>
      <c r="AO30" s="223"/>
      <c r="AP30" s="225"/>
    </row>
    <row r="31" ht="12"/>
    <row r="32" ht="12">
      <c r="B32" s="226"/>
    </row>
  </sheetData>
  <printOptions gridLines="1"/>
  <pageMargins left="0.75" right="0.75" top="1" bottom="1" header="0.5" footer="0.5"/>
  <pageSetup fitToHeight="1" fitToWidth="1" horizontalDpi="600" verticalDpi="600" orientation="landscape" scale="37" r:id="rId3"/>
  <headerFooter alignWithMargins="0">
    <oddHeader>&amp;CEffluent Monitoring Data (Organics from Table 2 of SMP)
U.S. Navy, Naval Support Activity
Treasure Island</oddHeader>
    <oddFooter>&amp;C&amp;P of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6"/>
  <sheetViews>
    <sheetView zoomScale="90" zoomScaleNormal="90" workbookViewId="0" topLeftCell="A1">
      <selection activeCell="B4" sqref="B4"/>
    </sheetView>
  </sheetViews>
  <sheetFormatPr defaultColWidth="9.140625" defaultRowHeight="12.75"/>
  <cols>
    <col min="1" max="1" width="13.140625" style="270" customWidth="1"/>
    <col min="2" max="2" width="17.7109375" style="270" bestFit="1" customWidth="1"/>
    <col min="3" max="3" width="8.140625" style="270" bestFit="1" customWidth="1"/>
    <col min="4" max="4" width="5.57421875" style="270" bestFit="1" customWidth="1"/>
    <col min="5" max="5" width="6.8515625" style="270" bestFit="1" customWidth="1"/>
    <col min="6" max="6" width="5.8515625" style="270" bestFit="1" customWidth="1"/>
    <col min="7" max="7" width="1.8515625" style="270" customWidth="1"/>
    <col min="8" max="10" width="9.00390625" style="270" customWidth="1"/>
    <col min="11" max="11" width="2.140625" style="270" bestFit="1" customWidth="1"/>
    <col min="12" max="16384" width="9.00390625" style="270" customWidth="1"/>
  </cols>
  <sheetData>
    <row r="1" spans="1:13" s="269" customFormat="1" ht="15">
      <c r="A1" s="452" t="s">
        <v>406</v>
      </c>
      <c r="B1" s="452" t="s">
        <v>407</v>
      </c>
      <c r="C1" s="452" t="s">
        <v>408</v>
      </c>
      <c r="D1" s="452" t="s">
        <v>409</v>
      </c>
      <c r="E1" s="452" t="s">
        <v>410</v>
      </c>
      <c r="F1" s="452" t="s">
        <v>308</v>
      </c>
      <c r="G1" s="452"/>
      <c r="H1" s="453" t="s">
        <v>408</v>
      </c>
      <c r="I1" s="453" t="s">
        <v>409</v>
      </c>
      <c r="J1" s="453" t="s">
        <v>410</v>
      </c>
      <c r="K1" s="588" t="s">
        <v>411</v>
      </c>
      <c r="L1" s="588"/>
      <c r="M1" s="589"/>
    </row>
    <row r="2" spans="1:13" ht="15">
      <c r="A2" s="455">
        <v>36410</v>
      </c>
      <c r="B2" s="454" t="s">
        <v>123</v>
      </c>
      <c r="C2" s="454" t="s">
        <v>272</v>
      </c>
      <c r="D2" s="454">
        <v>1.83</v>
      </c>
      <c r="E2" s="454" t="s">
        <v>428</v>
      </c>
      <c r="F2" s="454">
        <v>5.55</v>
      </c>
      <c r="G2" s="454"/>
      <c r="H2" s="454" t="s">
        <v>272</v>
      </c>
      <c r="I2" s="454">
        <v>0.00183</v>
      </c>
      <c r="J2" s="454" t="s">
        <v>198</v>
      </c>
      <c r="K2" s="454"/>
      <c r="L2" s="454"/>
      <c r="M2" s="454"/>
    </row>
    <row r="3" spans="1:13" ht="15">
      <c r="A3" s="455">
        <v>36782</v>
      </c>
      <c r="B3" s="454" t="s">
        <v>123</v>
      </c>
      <c r="C3" s="454" t="s">
        <v>272</v>
      </c>
      <c r="D3" s="454">
        <v>5.55</v>
      </c>
      <c r="E3" s="454" t="s">
        <v>428</v>
      </c>
      <c r="F3" s="454">
        <v>5.55</v>
      </c>
      <c r="G3" s="454"/>
      <c r="H3" s="454" t="s">
        <v>272</v>
      </c>
      <c r="I3" s="454">
        <v>0.00555</v>
      </c>
      <c r="J3" s="454" t="s">
        <v>198</v>
      </c>
      <c r="K3" s="454"/>
      <c r="L3" s="454"/>
      <c r="M3" s="454"/>
    </row>
    <row r="4" spans="1:13" ht="15">
      <c r="A4" s="455">
        <v>36937</v>
      </c>
      <c r="B4" s="454" t="s">
        <v>123</v>
      </c>
      <c r="C4" s="454" t="s">
        <v>272</v>
      </c>
      <c r="D4" s="454">
        <v>5.55</v>
      </c>
      <c r="E4" s="454" t="s">
        <v>428</v>
      </c>
      <c r="F4" s="454">
        <v>5.55</v>
      </c>
      <c r="G4" s="454"/>
      <c r="H4" s="454" t="s">
        <v>272</v>
      </c>
      <c r="I4" s="454">
        <v>0.00555</v>
      </c>
      <c r="J4" s="454" t="s">
        <v>198</v>
      </c>
      <c r="K4" s="454"/>
      <c r="L4" s="454"/>
      <c r="M4" s="454"/>
    </row>
    <row r="5" spans="1:13" ht="15">
      <c r="A5" s="455">
        <v>36955</v>
      </c>
      <c r="B5" s="454" t="s">
        <v>123</v>
      </c>
      <c r="C5" s="454" t="s">
        <v>272</v>
      </c>
      <c r="D5" s="454">
        <v>5.55</v>
      </c>
      <c r="E5" s="454" t="s">
        <v>428</v>
      </c>
      <c r="F5" s="454">
        <v>5.55</v>
      </c>
      <c r="G5" s="454"/>
      <c r="H5" s="454" t="s">
        <v>272</v>
      </c>
      <c r="I5" s="454">
        <v>0.00555</v>
      </c>
      <c r="J5" s="454" t="s">
        <v>198</v>
      </c>
      <c r="K5" s="454"/>
      <c r="L5" s="454"/>
      <c r="M5" s="454"/>
    </row>
    <row r="6" spans="1:13" ht="15">
      <c r="A6" s="455">
        <v>37119</v>
      </c>
      <c r="B6" s="454" t="s">
        <v>123</v>
      </c>
      <c r="C6" s="454" t="s">
        <v>272</v>
      </c>
      <c r="D6" s="454">
        <v>5.55</v>
      </c>
      <c r="E6" s="454" t="s">
        <v>428</v>
      </c>
      <c r="F6" s="454">
        <v>5.55</v>
      </c>
      <c r="G6" s="454"/>
      <c r="H6" s="454" t="s">
        <v>272</v>
      </c>
      <c r="I6" s="454">
        <v>0.00555</v>
      </c>
      <c r="J6" s="454" t="s">
        <v>198</v>
      </c>
      <c r="K6" s="454"/>
      <c r="L6" s="454"/>
      <c r="M6" s="454"/>
    </row>
    <row r="7" spans="1:13" ht="15">
      <c r="A7" s="455">
        <v>37196</v>
      </c>
      <c r="B7" s="454" t="s">
        <v>123</v>
      </c>
      <c r="C7" s="454" t="s">
        <v>272</v>
      </c>
      <c r="D7" s="454">
        <v>5.55</v>
      </c>
      <c r="E7" s="454" t="s">
        <v>428</v>
      </c>
      <c r="F7" s="454">
        <v>5.55</v>
      </c>
      <c r="G7" s="454"/>
      <c r="H7" s="454" t="s">
        <v>272</v>
      </c>
      <c r="I7" s="454">
        <v>0.00555</v>
      </c>
      <c r="J7" s="454" t="s">
        <v>198</v>
      </c>
      <c r="K7" s="454"/>
      <c r="L7" s="454"/>
      <c r="M7" s="454"/>
    </row>
    <row r="8" spans="1:13" ht="15">
      <c r="A8" s="455">
        <v>37243</v>
      </c>
      <c r="B8" s="454" t="s">
        <v>123</v>
      </c>
      <c r="C8" s="454" t="s">
        <v>272</v>
      </c>
      <c r="D8" s="454">
        <v>5.55</v>
      </c>
      <c r="E8" s="454" t="s">
        <v>428</v>
      </c>
      <c r="F8" s="454">
        <v>5.55</v>
      </c>
      <c r="G8" s="454"/>
      <c r="H8" s="454" t="s">
        <v>272</v>
      </c>
      <c r="I8" s="454">
        <v>0.00555</v>
      </c>
      <c r="J8" s="454" t="s">
        <v>198</v>
      </c>
      <c r="K8" s="454"/>
      <c r="L8" s="454"/>
      <c r="M8" s="454"/>
    </row>
    <row r="9" spans="1:13" ht="15">
      <c r="A9" s="455">
        <v>37332</v>
      </c>
      <c r="B9" s="454" t="s">
        <v>123</v>
      </c>
      <c r="C9" s="454" t="s">
        <v>272</v>
      </c>
      <c r="D9" s="454">
        <v>5.55</v>
      </c>
      <c r="E9" s="454" t="s">
        <v>428</v>
      </c>
      <c r="F9" s="454">
        <v>5.55</v>
      </c>
      <c r="G9" s="454"/>
      <c r="H9" s="454" t="s">
        <v>272</v>
      </c>
      <c r="I9" s="454">
        <v>0.00555</v>
      </c>
      <c r="J9" s="454" t="s">
        <v>198</v>
      </c>
      <c r="K9" s="454"/>
      <c r="L9" s="454"/>
      <c r="M9" s="454"/>
    </row>
    <row r="10" spans="1:13" ht="15">
      <c r="A10" s="455">
        <v>37521</v>
      </c>
      <c r="B10" s="454" t="s">
        <v>123</v>
      </c>
      <c r="C10" s="454" t="s">
        <v>272</v>
      </c>
      <c r="D10" s="454">
        <v>5.55</v>
      </c>
      <c r="E10" s="454" t="s">
        <v>428</v>
      </c>
      <c r="F10" s="454">
        <v>5.55</v>
      </c>
      <c r="G10" s="454"/>
      <c r="H10" s="454" t="s">
        <v>272</v>
      </c>
      <c r="I10" s="454">
        <v>0.00555</v>
      </c>
      <c r="J10" s="454" t="s">
        <v>198</v>
      </c>
      <c r="K10" s="454"/>
      <c r="L10" s="454"/>
      <c r="M10" s="454"/>
    </row>
    <row r="11" spans="1:13" ht="15">
      <c r="A11" s="455">
        <v>37591</v>
      </c>
      <c r="B11" s="454" t="s">
        <v>123</v>
      </c>
      <c r="C11" s="454" t="s">
        <v>272</v>
      </c>
      <c r="D11" s="454">
        <v>5.55</v>
      </c>
      <c r="E11" s="454" t="s">
        <v>428</v>
      </c>
      <c r="F11" s="454">
        <v>5.55</v>
      </c>
      <c r="G11" s="454"/>
      <c r="H11" s="454" t="s">
        <v>272</v>
      </c>
      <c r="I11" s="454">
        <v>0.00555</v>
      </c>
      <c r="J11" s="454" t="s">
        <v>198</v>
      </c>
      <c r="K11" s="454"/>
      <c r="L11" s="454"/>
      <c r="M11" s="454"/>
    </row>
    <row r="12" spans="1:13" ht="15">
      <c r="A12" s="455">
        <v>37671</v>
      </c>
      <c r="B12" s="454" t="s">
        <v>123</v>
      </c>
      <c r="C12" s="454" t="s">
        <v>272</v>
      </c>
      <c r="D12" s="454">
        <v>5.55</v>
      </c>
      <c r="E12" s="454" t="s">
        <v>428</v>
      </c>
      <c r="F12" s="454">
        <v>5.55</v>
      </c>
      <c r="G12" s="454"/>
      <c r="H12" s="454" t="s">
        <v>272</v>
      </c>
      <c r="I12" s="454">
        <v>0.00555</v>
      </c>
      <c r="J12" s="454" t="s">
        <v>198</v>
      </c>
      <c r="K12" s="454" t="s">
        <v>272</v>
      </c>
      <c r="L12" s="454">
        <v>0.00183</v>
      </c>
      <c r="M12" s="454" t="s">
        <v>198</v>
      </c>
    </row>
    <row r="13" spans="1:13" ht="15">
      <c r="A13" s="455">
        <v>36410</v>
      </c>
      <c r="B13" s="454" t="s">
        <v>275</v>
      </c>
      <c r="C13" s="454" t="s">
        <v>272</v>
      </c>
      <c r="D13" s="454">
        <v>1.83</v>
      </c>
      <c r="E13" s="454" t="s">
        <v>428</v>
      </c>
      <c r="F13" s="454">
        <v>4.05</v>
      </c>
      <c r="G13" s="454"/>
      <c r="H13" s="454" t="s">
        <v>272</v>
      </c>
      <c r="I13" s="454">
        <v>0.00183</v>
      </c>
      <c r="J13" s="454" t="s">
        <v>198</v>
      </c>
      <c r="K13" s="454"/>
      <c r="L13" s="454"/>
      <c r="M13" s="454"/>
    </row>
    <row r="14" spans="1:13" ht="15">
      <c r="A14" s="455">
        <v>36782</v>
      </c>
      <c r="B14" s="454" t="s">
        <v>275</v>
      </c>
      <c r="C14" s="454" t="s">
        <v>272</v>
      </c>
      <c r="D14" s="454">
        <v>4.05</v>
      </c>
      <c r="E14" s="454" t="s">
        <v>428</v>
      </c>
      <c r="F14" s="454">
        <v>4.05</v>
      </c>
      <c r="G14" s="454"/>
      <c r="H14" s="454" t="s">
        <v>272</v>
      </c>
      <c r="I14" s="454">
        <v>0.00405</v>
      </c>
      <c r="J14" s="454" t="s">
        <v>198</v>
      </c>
      <c r="K14" s="454"/>
      <c r="L14" s="454"/>
      <c r="M14" s="454"/>
    </row>
    <row r="15" spans="1:13" ht="15">
      <c r="A15" s="455">
        <v>36937</v>
      </c>
      <c r="B15" s="454" t="s">
        <v>275</v>
      </c>
      <c r="C15" s="454" t="s">
        <v>272</v>
      </c>
      <c r="D15" s="454">
        <v>4.05</v>
      </c>
      <c r="E15" s="454" t="s">
        <v>428</v>
      </c>
      <c r="F15" s="454">
        <v>4.05</v>
      </c>
      <c r="G15" s="454"/>
      <c r="H15" s="454" t="s">
        <v>272</v>
      </c>
      <c r="I15" s="454">
        <v>0.00405</v>
      </c>
      <c r="J15" s="454" t="s">
        <v>198</v>
      </c>
      <c r="K15" s="454"/>
      <c r="L15" s="454"/>
      <c r="M15" s="454"/>
    </row>
    <row r="16" spans="1:13" ht="15">
      <c r="A16" s="455">
        <v>36955</v>
      </c>
      <c r="B16" s="454" t="s">
        <v>275</v>
      </c>
      <c r="C16" s="454" t="s">
        <v>272</v>
      </c>
      <c r="D16" s="454">
        <v>4.05</v>
      </c>
      <c r="E16" s="454" t="s">
        <v>428</v>
      </c>
      <c r="F16" s="454">
        <v>4.05</v>
      </c>
      <c r="G16" s="454"/>
      <c r="H16" s="454" t="s">
        <v>272</v>
      </c>
      <c r="I16" s="454">
        <v>0.00405</v>
      </c>
      <c r="J16" s="454" t="s">
        <v>198</v>
      </c>
      <c r="K16" s="454"/>
      <c r="L16" s="454"/>
      <c r="M16" s="454"/>
    </row>
    <row r="17" spans="1:13" ht="15">
      <c r="A17" s="455">
        <v>37119</v>
      </c>
      <c r="B17" s="454" t="s">
        <v>275</v>
      </c>
      <c r="C17" s="454" t="s">
        <v>272</v>
      </c>
      <c r="D17" s="454">
        <v>4.05</v>
      </c>
      <c r="E17" s="454" t="s">
        <v>428</v>
      </c>
      <c r="F17" s="454">
        <v>4.05</v>
      </c>
      <c r="G17" s="454"/>
      <c r="H17" s="454" t="s">
        <v>272</v>
      </c>
      <c r="I17" s="454">
        <v>0.00405</v>
      </c>
      <c r="J17" s="454" t="s">
        <v>198</v>
      </c>
      <c r="K17" s="454"/>
      <c r="L17" s="454"/>
      <c r="M17" s="454"/>
    </row>
    <row r="18" spans="1:13" ht="15">
      <c r="A18" s="455">
        <v>37196</v>
      </c>
      <c r="B18" s="454" t="s">
        <v>275</v>
      </c>
      <c r="C18" s="454" t="s">
        <v>272</v>
      </c>
      <c r="D18" s="454">
        <v>4.05</v>
      </c>
      <c r="E18" s="454" t="s">
        <v>428</v>
      </c>
      <c r="F18" s="454">
        <v>4.05</v>
      </c>
      <c r="G18" s="454"/>
      <c r="H18" s="454" t="s">
        <v>272</v>
      </c>
      <c r="I18" s="454">
        <v>0.00405</v>
      </c>
      <c r="J18" s="454" t="s">
        <v>198</v>
      </c>
      <c r="K18" s="454"/>
      <c r="L18" s="454"/>
      <c r="M18" s="454"/>
    </row>
    <row r="19" spans="1:13" ht="15">
      <c r="A19" s="455">
        <v>37243</v>
      </c>
      <c r="B19" s="454" t="s">
        <v>275</v>
      </c>
      <c r="C19" s="454" t="s">
        <v>272</v>
      </c>
      <c r="D19" s="454">
        <v>4.05</v>
      </c>
      <c r="E19" s="454" t="s">
        <v>428</v>
      </c>
      <c r="F19" s="454">
        <v>4.05</v>
      </c>
      <c r="G19" s="454"/>
      <c r="H19" s="454" t="s">
        <v>272</v>
      </c>
      <c r="I19" s="454">
        <v>0.00405</v>
      </c>
      <c r="J19" s="454" t="s">
        <v>198</v>
      </c>
      <c r="K19" s="454"/>
      <c r="L19" s="454"/>
      <c r="M19" s="454"/>
    </row>
    <row r="20" spans="1:13" ht="15">
      <c r="A20" s="455">
        <v>37332</v>
      </c>
      <c r="B20" s="454" t="s">
        <v>275</v>
      </c>
      <c r="C20" s="454" t="s">
        <v>272</v>
      </c>
      <c r="D20" s="454">
        <v>4.05</v>
      </c>
      <c r="E20" s="454" t="s">
        <v>428</v>
      </c>
      <c r="F20" s="454">
        <v>4.05</v>
      </c>
      <c r="G20" s="454"/>
      <c r="H20" s="454" t="s">
        <v>272</v>
      </c>
      <c r="I20" s="454">
        <v>0.00405</v>
      </c>
      <c r="J20" s="454" t="s">
        <v>198</v>
      </c>
      <c r="K20" s="454"/>
      <c r="L20" s="454"/>
      <c r="M20" s="454"/>
    </row>
    <row r="21" spans="1:13" ht="15">
      <c r="A21" s="455">
        <v>37521</v>
      </c>
      <c r="B21" s="454" t="s">
        <v>275</v>
      </c>
      <c r="C21" s="454" t="s">
        <v>272</v>
      </c>
      <c r="D21" s="454">
        <v>4.05</v>
      </c>
      <c r="E21" s="454" t="s">
        <v>428</v>
      </c>
      <c r="F21" s="454">
        <v>4.05</v>
      </c>
      <c r="G21" s="454"/>
      <c r="H21" s="454" t="s">
        <v>272</v>
      </c>
      <c r="I21" s="454">
        <v>0.00405</v>
      </c>
      <c r="J21" s="454" t="s">
        <v>198</v>
      </c>
      <c r="K21" s="454"/>
      <c r="L21" s="454"/>
      <c r="M21" s="454"/>
    </row>
    <row r="22" spans="1:13" ht="15">
      <c r="A22" s="455">
        <v>37591</v>
      </c>
      <c r="B22" s="454" t="s">
        <v>275</v>
      </c>
      <c r="C22" s="454" t="s">
        <v>272</v>
      </c>
      <c r="D22" s="454">
        <v>4.05</v>
      </c>
      <c r="E22" s="454" t="s">
        <v>428</v>
      </c>
      <c r="F22" s="454">
        <v>4.05</v>
      </c>
      <c r="G22" s="454"/>
      <c r="H22" s="454" t="s">
        <v>272</v>
      </c>
      <c r="I22" s="454">
        <v>0.00405</v>
      </c>
      <c r="J22" s="454" t="s">
        <v>198</v>
      </c>
      <c r="K22" s="454"/>
      <c r="L22" s="454"/>
      <c r="M22" s="454"/>
    </row>
    <row r="23" spans="1:13" ht="15">
      <c r="A23" s="455">
        <v>37671</v>
      </c>
      <c r="B23" s="454" t="s">
        <v>275</v>
      </c>
      <c r="C23" s="454" t="s">
        <v>272</v>
      </c>
      <c r="D23" s="454">
        <v>4.05</v>
      </c>
      <c r="E23" s="454" t="s">
        <v>428</v>
      </c>
      <c r="F23" s="454">
        <v>4.05</v>
      </c>
      <c r="G23" s="454"/>
      <c r="H23" s="454" t="s">
        <v>272</v>
      </c>
      <c r="I23" s="454">
        <v>0.00405</v>
      </c>
      <c r="J23" s="454" t="s">
        <v>198</v>
      </c>
      <c r="K23" s="454" t="s">
        <v>272</v>
      </c>
      <c r="L23" s="454">
        <v>0.00183</v>
      </c>
      <c r="M23" s="454" t="s">
        <v>198</v>
      </c>
    </row>
    <row r="24" spans="1:13" ht="15">
      <c r="A24" s="455">
        <v>36410</v>
      </c>
      <c r="B24" s="454" t="s">
        <v>429</v>
      </c>
      <c r="C24" s="454" t="s">
        <v>272</v>
      </c>
      <c r="D24" s="454">
        <v>3.29</v>
      </c>
      <c r="E24" s="454" t="s">
        <v>428</v>
      </c>
      <c r="F24" s="454">
        <v>5.9</v>
      </c>
      <c r="G24" s="454"/>
      <c r="H24" s="454" t="s">
        <v>272</v>
      </c>
      <c r="I24" s="454">
        <v>0.00329</v>
      </c>
      <c r="J24" s="454" t="s">
        <v>198</v>
      </c>
      <c r="K24" s="454"/>
      <c r="L24" s="454"/>
      <c r="M24" s="454"/>
    </row>
    <row r="25" spans="1:13" ht="15">
      <c r="A25" s="455">
        <v>36782</v>
      </c>
      <c r="B25" s="454" t="s">
        <v>429</v>
      </c>
      <c r="C25" s="454" t="s">
        <v>272</v>
      </c>
      <c r="D25" s="454">
        <v>5.9</v>
      </c>
      <c r="E25" s="454" t="s">
        <v>428</v>
      </c>
      <c r="F25" s="454">
        <v>5.9</v>
      </c>
      <c r="G25" s="454"/>
      <c r="H25" s="454" t="s">
        <v>272</v>
      </c>
      <c r="I25" s="454">
        <v>0.005900000000000001</v>
      </c>
      <c r="J25" s="454" t="s">
        <v>198</v>
      </c>
      <c r="K25" s="454"/>
      <c r="L25" s="454"/>
      <c r="M25" s="454"/>
    </row>
    <row r="26" spans="1:13" ht="15">
      <c r="A26" s="455">
        <v>36937</v>
      </c>
      <c r="B26" s="454" t="s">
        <v>429</v>
      </c>
      <c r="C26" s="454" t="s">
        <v>272</v>
      </c>
      <c r="D26" s="454">
        <v>5.9</v>
      </c>
      <c r="E26" s="454" t="s">
        <v>428</v>
      </c>
      <c r="F26" s="454">
        <v>5.9</v>
      </c>
      <c r="G26" s="454"/>
      <c r="H26" s="454" t="s">
        <v>272</v>
      </c>
      <c r="I26" s="454">
        <v>0.005900000000000001</v>
      </c>
      <c r="J26" s="454" t="s">
        <v>198</v>
      </c>
      <c r="K26" s="454"/>
      <c r="L26" s="454"/>
      <c r="M26" s="454"/>
    </row>
    <row r="27" spans="1:13" ht="15">
      <c r="A27" s="455">
        <v>36955</v>
      </c>
      <c r="B27" s="454" t="s">
        <v>429</v>
      </c>
      <c r="C27" s="454" t="s">
        <v>272</v>
      </c>
      <c r="D27" s="454">
        <v>5.9</v>
      </c>
      <c r="E27" s="454" t="s">
        <v>428</v>
      </c>
      <c r="F27" s="454">
        <v>5.9</v>
      </c>
      <c r="G27" s="454"/>
      <c r="H27" s="454" t="s">
        <v>272</v>
      </c>
      <c r="I27" s="454">
        <v>0.005900000000000001</v>
      </c>
      <c r="J27" s="454" t="s">
        <v>198</v>
      </c>
      <c r="K27" s="454"/>
      <c r="L27" s="454"/>
      <c r="M27" s="454"/>
    </row>
    <row r="28" spans="1:13" ht="15">
      <c r="A28" s="455">
        <v>37119</v>
      </c>
      <c r="B28" s="454" t="s">
        <v>429</v>
      </c>
      <c r="C28" s="454" t="s">
        <v>272</v>
      </c>
      <c r="D28" s="454">
        <v>5.9</v>
      </c>
      <c r="E28" s="454" t="s">
        <v>428</v>
      </c>
      <c r="F28" s="454">
        <v>5.9</v>
      </c>
      <c r="G28" s="454"/>
      <c r="H28" s="454" t="s">
        <v>272</v>
      </c>
      <c r="I28" s="454">
        <v>0.005900000000000001</v>
      </c>
      <c r="J28" s="454" t="s">
        <v>198</v>
      </c>
      <c r="K28" s="454"/>
      <c r="L28" s="454"/>
      <c r="M28" s="454"/>
    </row>
    <row r="29" spans="1:13" ht="15">
      <c r="A29" s="455">
        <v>37196</v>
      </c>
      <c r="B29" s="454" t="s">
        <v>429</v>
      </c>
      <c r="C29" s="454" t="s">
        <v>272</v>
      </c>
      <c r="D29" s="454">
        <v>5.9</v>
      </c>
      <c r="E29" s="454" t="s">
        <v>428</v>
      </c>
      <c r="F29" s="454">
        <v>5.9</v>
      </c>
      <c r="G29" s="454"/>
      <c r="H29" s="454" t="s">
        <v>272</v>
      </c>
      <c r="I29" s="454">
        <v>0.005900000000000001</v>
      </c>
      <c r="J29" s="454" t="s">
        <v>198</v>
      </c>
      <c r="K29" s="454"/>
      <c r="L29" s="454"/>
      <c r="M29" s="454"/>
    </row>
    <row r="30" spans="1:13" ht="15">
      <c r="A30" s="455">
        <v>37243</v>
      </c>
      <c r="B30" s="454" t="s">
        <v>429</v>
      </c>
      <c r="C30" s="454" t="s">
        <v>272</v>
      </c>
      <c r="D30" s="454">
        <v>5.9</v>
      </c>
      <c r="E30" s="454" t="s">
        <v>428</v>
      </c>
      <c r="F30" s="454">
        <v>5.9</v>
      </c>
      <c r="G30" s="454"/>
      <c r="H30" s="454" t="s">
        <v>272</v>
      </c>
      <c r="I30" s="454">
        <v>0.005900000000000001</v>
      </c>
      <c r="J30" s="454" t="s">
        <v>198</v>
      </c>
      <c r="K30" s="454"/>
      <c r="L30" s="454"/>
      <c r="M30" s="454"/>
    </row>
    <row r="31" spans="1:13" ht="15">
      <c r="A31" s="455">
        <v>37332</v>
      </c>
      <c r="B31" s="454" t="s">
        <v>429</v>
      </c>
      <c r="C31" s="454" t="s">
        <v>272</v>
      </c>
      <c r="D31" s="454">
        <v>5.9</v>
      </c>
      <c r="E31" s="454" t="s">
        <v>428</v>
      </c>
      <c r="F31" s="454">
        <v>5.9</v>
      </c>
      <c r="G31" s="454"/>
      <c r="H31" s="454" t="s">
        <v>272</v>
      </c>
      <c r="I31" s="454">
        <v>0.005900000000000001</v>
      </c>
      <c r="J31" s="454" t="s">
        <v>198</v>
      </c>
      <c r="K31" s="454"/>
      <c r="L31" s="454"/>
      <c r="M31" s="454"/>
    </row>
    <row r="32" spans="1:13" ht="15">
      <c r="A32" s="455">
        <v>37521</v>
      </c>
      <c r="B32" s="454" t="s">
        <v>429</v>
      </c>
      <c r="C32" s="454" t="s">
        <v>272</v>
      </c>
      <c r="D32" s="454">
        <v>5.9</v>
      </c>
      <c r="E32" s="454" t="s">
        <v>428</v>
      </c>
      <c r="F32" s="454">
        <v>5.9</v>
      </c>
      <c r="G32" s="454"/>
      <c r="H32" s="454" t="s">
        <v>272</v>
      </c>
      <c r="I32" s="454">
        <v>0.005900000000000001</v>
      </c>
      <c r="J32" s="454" t="s">
        <v>198</v>
      </c>
      <c r="K32" s="454"/>
      <c r="L32" s="454"/>
      <c r="M32" s="454"/>
    </row>
    <row r="33" spans="1:13" ht="15">
      <c r="A33" s="455">
        <v>37591</v>
      </c>
      <c r="B33" s="454" t="s">
        <v>429</v>
      </c>
      <c r="C33" s="454" t="s">
        <v>272</v>
      </c>
      <c r="D33" s="454">
        <v>5.9</v>
      </c>
      <c r="E33" s="454" t="s">
        <v>428</v>
      </c>
      <c r="F33" s="454">
        <v>5.9</v>
      </c>
      <c r="G33" s="454"/>
      <c r="H33" s="454" t="s">
        <v>272</v>
      </c>
      <c r="I33" s="454">
        <v>0.005900000000000001</v>
      </c>
      <c r="J33" s="454" t="s">
        <v>198</v>
      </c>
      <c r="K33" s="454"/>
      <c r="L33" s="454"/>
      <c r="M33" s="454"/>
    </row>
    <row r="34" spans="1:13" ht="15">
      <c r="A34" s="455">
        <v>37671</v>
      </c>
      <c r="B34" s="454" t="s">
        <v>429</v>
      </c>
      <c r="C34" s="454" t="s">
        <v>272</v>
      </c>
      <c r="D34" s="454">
        <v>5.9</v>
      </c>
      <c r="E34" s="454" t="s">
        <v>428</v>
      </c>
      <c r="F34" s="454">
        <v>5.9</v>
      </c>
      <c r="G34" s="454"/>
      <c r="H34" s="454" t="s">
        <v>272</v>
      </c>
      <c r="I34" s="454">
        <v>0.005900000000000001</v>
      </c>
      <c r="J34" s="454" t="s">
        <v>198</v>
      </c>
      <c r="K34" s="454" t="s">
        <v>272</v>
      </c>
      <c r="L34" s="454">
        <v>0.00329</v>
      </c>
      <c r="M34" s="454" t="s">
        <v>198</v>
      </c>
    </row>
    <row r="35" spans="1:13" ht="15">
      <c r="A35" s="455">
        <v>36410</v>
      </c>
      <c r="B35" s="454" t="s">
        <v>115</v>
      </c>
      <c r="C35" s="454" t="s">
        <v>272</v>
      </c>
      <c r="D35" s="454">
        <v>2.22</v>
      </c>
      <c r="E35" s="454" t="s">
        <v>428</v>
      </c>
      <c r="F35" s="454">
        <v>2.02</v>
      </c>
      <c r="G35" s="454"/>
      <c r="H35" s="454" t="s">
        <v>272</v>
      </c>
      <c r="I35" s="454">
        <v>0.00222</v>
      </c>
      <c r="J35" s="454" t="s">
        <v>198</v>
      </c>
      <c r="K35" s="454"/>
      <c r="L35" s="454"/>
      <c r="M35" s="454"/>
    </row>
    <row r="36" spans="1:13" ht="15">
      <c r="A36" s="455">
        <v>36782</v>
      </c>
      <c r="B36" s="454" t="s">
        <v>115</v>
      </c>
      <c r="C36" s="454" t="s">
        <v>272</v>
      </c>
      <c r="D36" s="454">
        <v>2.02</v>
      </c>
      <c r="E36" s="454" t="s">
        <v>428</v>
      </c>
      <c r="F36" s="454">
        <v>2.02</v>
      </c>
      <c r="G36" s="454"/>
      <c r="H36" s="454" t="s">
        <v>272</v>
      </c>
      <c r="I36" s="454">
        <v>0.00202</v>
      </c>
      <c r="J36" s="454" t="s">
        <v>198</v>
      </c>
      <c r="K36" s="454"/>
      <c r="L36" s="454"/>
      <c r="M36" s="454"/>
    </row>
    <row r="37" spans="1:13" ht="15">
      <c r="A37" s="455">
        <v>36937</v>
      </c>
      <c r="B37" s="454" t="s">
        <v>115</v>
      </c>
      <c r="C37" s="454" t="s">
        <v>272</v>
      </c>
      <c r="D37" s="454">
        <v>2.02</v>
      </c>
      <c r="E37" s="454" t="s">
        <v>428</v>
      </c>
      <c r="F37" s="454">
        <v>2.02</v>
      </c>
      <c r="G37" s="454"/>
      <c r="H37" s="454" t="s">
        <v>272</v>
      </c>
      <c r="I37" s="454">
        <v>0.00202</v>
      </c>
      <c r="J37" s="454" t="s">
        <v>198</v>
      </c>
      <c r="K37" s="454"/>
      <c r="L37" s="454"/>
      <c r="M37" s="454"/>
    </row>
    <row r="38" spans="1:13" ht="15">
      <c r="A38" s="455">
        <v>36955</v>
      </c>
      <c r="B38" s="454" t="s">
        <v>115</v>
      </c>
      <c r="C38" s="454" t="s">
        <v>272</v>
      </c>
      <c r="D38" s="454">
        <v>2.02</v>
      </c>
      <c r="E38" s="454" t="s">
        <v>428</v>
      </c>
      <c r="F38" s="454">
        <v>2.02</v>
      </c>
      <c r="G38" s="454"/>
      <c r="H38" s="454" t="s">
        <v>272</v>
      </c>
      <c r="I38" s="454">
        <v>0.00202</v>
      </c>
      <c r="J38" s="454" t="s">
        <v>198</v>
      </c>
      <c r="K38" s="454"/>
      <c r="L38" s="454"/>
      <c r="M38" s="454"/>
    </row>
    <row r="39" spans="1:13" ht="15">
      <c r="A39" s="455">
        <v>37119</v>
      </c>
      <c r="B39" s="454" t="s">
        <v>115</v>
      </c>
      <c r="C39" s="454" t="s">
        <v>272</v>
      </c>
      <c r="D39" s="454">
        <v>2.02</v>
      </c>
      <c r="E39" s="454" t="s">
        <v>428</v>
      </c>
      <c r="F39" s="454">
        <v>2.02</v>
      </c>
      <c r="G39" s="454"/>
      <c r="H39" s="454" t="s">
        <v>272</v>
      </c>
      <c r="I39" s="454">
        <v>0.00202</v>
      </c>
      <c r="J39" s="454" t="s">
        <v>198</v>
      </c>
      <c r="K39" s="454"/>
      <c r="L39" s="454"/>
      <c r="M39" s="454"/>
    </row>
    <row r="40" spans="1:13" ht="15">
      <c r="A40" s="455">
        <v>37196</v>
      </c>
      <c r="B40" s="454" t="s">
        <v>115</v>
      </c>
      <c r="C40" s="454" t="s">
        <v>272</v>
      </c>
      <c r="D40" s="454">
        <v>2.02</v>
      </c>
      <c r="E40" s="454" t="s">
        <v>428</v>
      </c>
      <c r="F40" s="454">
        <v>2.02</v>
      </c>
      <c r="G40" s="454"/>
      <c r="H40" s="454" t="s">
        <v>272</v>
      </c>
      <c r="I40" s="454">
        <v>0.00202</v>
      </c>
      <c r="J40" s="454" t="s">
        <v>198</v>
      </c>
      <c r="K40" s="454"/>
      <c r="L40" s="454"/>
      <c r="M40" s="454"/>
    </row>
    <row r="41" spans="1:13" ht="15">
      <c r="A41" s="455">
        <v>37243</v>
      </c>
      <c r="B41" s="454" t="s">
        <v>115</v>
      </c>
      <c r="C41" s="454" t="s">
        <v>272</v>
      </c>
      <c r="D41" s="454">
        <v>2.02</v>
      </c>
      <c r="E41" s="454" t="s">
        <v>428</v>
      </c>
      <c r="F41" s="454">
        <v>2.02</v>
      </c>
      <c r="G41" s="454"/>
      <c r="H41" s="454" t="s">
        <v>272</v>
      </c>
      <c r="I41" s="454">
        <v>0.00202</v>
      </c>
      <c r="J41" s="454" t="s">
        <v>198</v>
      </c>
      <c r="K41" s="454"/>
      <c r="L41" s="454"/>
      <c r="M41" s="454"/>
    </row>
    <row r="42" spans="1:13" ht="15">
      <c r="A42" s="455">
        <v>37332</v>
      </c>
      <c r="B42" s="454" t="s">
        <v>115</v>
      </c>
      <c r="C42" s="454" t="s">
        <v>272</v>
      </c>
      <c r="D42" s="454">
        <v>2.02</v>
      </c>
      <c r="E42" s="454" t="s">
        <v>428</v>
      </c>
      <c r="F42" s="454">
        <v>2.02</v>
      </c>
      <c r="G42" s="454"/>
      <c r="H42" s="454" t="s">
        <v>272</v>
      </c>
      <c r="I42" s="454">
        <v>0.00202</v>
      </c>
      <c r="J42" s="454" t="s">
        <v>198</v>
      </c>
      <c r="K42" s="454"/>
      <c r="L42" s="454"/>
      <c r="M42" s="454"/>
    </row>
    <row r="43" spans="1:13" ht="15">
      <c r="A43" s="455">
        <v>37521</v>
      </c>
      <c r="B43" s="454" t="s">
        <v>115</v>
      </c>
      <c r="C43" s="454" t="s">
        <v>272</v>
      </c>
      <c r="D43" s="454">
        <v>2.02</v>
      </c>
      <c r="E43" s="454" t="s">
        <v>428</v>
      </c>
      <c r="F43" s="454">
        <v>2.02</v>
      </c>
      <c r="G43" s="454"/>
      <c r="H43" s="454" t="s">
        <v>272</v>
      </c>
      <c r="I43" s="454">
        <v>0.00202</v>
      </c>
      <c r="J43" s="454" t="s">
        <v>198</v>
      </c>
      <c r="K43" s="454"/>
      <c r="L43" s="454"/>
      <c r="M43" s="454"/>
    </row>
    <row r="44" spans="1:13" ht="15">
      <c r="A44" s="455">
        <v>37591</v>
      </c>
      <c r="B44" s="454" t="s">
        <v>115</v>
      </c>
      <c r="C44" s="454" t="s">
        <v>272</v>
      </c>
      <c r="D44" s="454">
        <v>2.02</v>
      </c>
      <c r="E44" s="454" t="s">
        <v>428</v>
      </c>
      <c r="F44" s="454">
        <v>2.02</v>
      </c>
      <c r="G44" s="454"/>
      <c r="H44" s="454" t="s">
        <v>272</v>
      </c>
      <c r="I44" s="454">
        <v>0.00202</v>
      </c>
      <c r="J44" s="454" t="s">
        <v>198</v>
      </c>
      <c r="K44" s="454"/>
      <c r="L44" s="454"/>
      <c r="M44" s="454"/>
    </row>
    <row r="45" spans="1:13" ht="15">
      <c r="A45" s="455">
        <v>37671</v>
      </c>
      <c r="B45" s="454" t="s">
        <v>115</v>
      </c>
      <c r="C45" s="454" t="s">
        <v>272</v>
      </c>
      <c r="D45" s="454">
        <v>2.02</v>
      </c>
      <c r="E45" s="454" t="s">
        <v>428</v>
      </c>
      <c r="F45" s="454">
        <v>2.02</v>
      </c>
      <c r="G45" s="454"/>
      <c r="H45" s="454" t="s">
        <v>272</v>
      </c>
      <c r="I45" s="454">
        <v>0.00202</v>
      </c>
      <c r="J45" s="454" t="s">
        <v>198</v>
      </c>
      <c r="K45" s="454" t="s">
        <v>272</v>
      </c>
      <c r="L45" s="454">
        <v>0.00202</v>
      </c>
      <c r="M45" s="454" t="s">
        <v>198</v>
      </c>
    </row>
    <row r="46" spans="1:13" ht="15">
      <c r="A46" s="455">
        <v>36410</v>
      </c>
      <c r="B46" s="454" t="s">
        <v>430</v>
      </c>
      <c r="C46" s="454" t="s">
        <v>272</v>
      </c>
      <c r="D46" s="454">
        <v>1.57</v>
      </c>
      <c r="E46" s="454" t="s">
        <v>428</v>
      </c>
      <c r="F46" s="454">
        <v>1.08</v>
      </c>
      <c r="G46" s="454"/>
      <c r="H46" s="454" t="s">
        <v>272</v>
      </c>
      <c r="I46" s="454">
        <v>0.00157</v>
      </c>
      <c r="J46" s="454" t="s">
        <v>198</v>
      </c>
      <c r="K46" s="454"/>
      <c r="L46" s="454"/>
      <c r="M46" s="454"/>
    </row>
    <row r="47" spans="1:13" ht="15">
      <c r="A47" s="455">
        <v>36782</v>
      </c>
      <c r="B47" s="454" t="s">
        <v>430</v>
      </c>
      <c r="C47" s="454" t="s">
        <v>272</v>
      </c>
      <c r="D47" s="454">
        <v>1.08</v>
      </c>
      <c r="E47" s="454" t="s">
        <v>428</v>
      </c>
      <c r="F47" s="454">
        <v>1.08</v>
      </c>
      <c r="G47" s="454"/>
      <c r="H47" s="454" t="s">
        <v>272</v>
      </c>
      <c r="I47" s="454">
        <v>0.00108</v>
      </c>
      <c r="J47" s="454" t="s">
        <v>198</v>
      </c>
      <c r="K47" s="454"/>
      <c r="L47" s="454"/>
      <c r="M47" s="454"/>
    </row>
    <row r="48" spans="1:13" ht="15">
      <c r="A48" s="455">
        <v>36937</v>
      </c>
      <c r="B48" s="454" t="s">
        <v>430</v>
      </c>
      <c r="C48" s="454" t="s">
        <v>272</v>
      </c>
      <c r="D48" s="454">
        <v>1.08</v>
      </c>
      <c r="E48" s="454" t="s">
        <v>428</v>
      </c>
      <c r="F48" s="454">
        <v>1.08</v>
      </c>
      <c r="G48" s="454"/>
      <c r="H48" s="454" t="s">
        <v>272</v>
      </c>
      <c r="I48" s="454">
        <v>0.00108</v>
      </c>
      <c r="J48" s="454" t="s">
        <v>198</v>
      </c>
      <c r="K48" s="454"/>
      <c r="L48" s="454"/>
      <c r="M48" s="454"/>
    </row>
    <row r="49" spans="1:13" ht="15">
      <c r="A49" s="455">
        <v>36955</v>
      </c>
      <c r="B49" s="454" t="s">
        <v>430</v>
      </c>
      <c r="C49" s="454" t="s">
        <v>272</v>
      </c>
      <c r="D49" s="454">
        <v>1.08</v>
      </c>
      <c r="E49" s="454" t="s">
        <v>428</v>
      </c>
      <c r="F49" s="454">
        <v>1.08</v>
      </c>
      <c r="G49" s="454"/>
      <c r="H49" s="454" t="s">
        <v>272</v>
      </c>
      <c r="I49" s="454">
        <v>0.00108</v>
      </c>
      <c r="J49" s="454" t="s">
        <v>198</v>
      </c>
      <c r="K49" s="454"/>
      <c r="L49" s="454"/>
      <c r="M49" s="454"/>
    </row>
    <row r="50" spans="1:13" ht="15">
      <c r="A50" s="455">
        <v>37119</v>
      </c>
      <c r="B50" s="454" t="s">
        <v>430</v>
      </c>
      <c r="C50" s="454" t="s">
        <v>272</v>
      </c>
      <c r="D50" s="454">
        <v>1.08</v>
      </c>
      <c r="E50" s="454" t="s">
        <v>428</v>
      </c>
      <c r="F50" s="454">
        <v>1.08</v>
      </c>
      <c r="G50" s="454"/>
      <c r="H50" s="454" t="s">
        <v>272</v>
      </c>
      <c r="I50" s="454">
        <v>0.00108</v>
      </c>
      <c r="J50" s="454" t="s">
        <v>198</v>
      </c>
      <c r="K50" s="454"/>
      <c r="L50" s="454"/>
      <c r="M50" s="454"/>
    </row>
    <row r="51" spans="1:13" ht="15">
      <c r="A51" s="455">
        <v>37196</v>
      </c>
      <c r="B51" s="454" t="s">
        <v>430</v>
      </c>
      <c r="C51" s="454" t="s">
        <v>272</v>
      </c>
      <c r="D51" s="454">
        <v>1.08</v>
      </c>
      <c r="E51" s="454" t="s">
        <v>428</v>
      </c>
      <c r="F51" s="454">
        <v>1.08</v>
      </c>
      <c r="G51" s="454"/>
      <c r="H51" s="454" t="s">
        <v>272</v>
      </c>
      <c r="I51" s="454">
        <v>0.00108</v>
      </c>
      <c r="J51" s="454" t="s">
        <v>198</v>
      </c>
      <c r="K51" s="454"/>
      <c r="L51" s="454"/>
      <c r="M51" s="454"/>
    </row>
    <row r="52" spans="1:13" ht="15">
      <c r="A52" s="455">
        <v>37243</v>
      </c>
      <c r="B52" s="454" t="s">
        <v>430</v>
      </c>
      <c r="C52" s="454" t="s">
        <v>272</v>
      </c>
      <c r="D52" s="454">
        <v>1.08</v>
      </c>
      <c r="E52" s="454" t="s">
        <v>428</v>
      </c>
      <c r="F52" s="454">
        <v>1.08</v>
      </c>
      <c r="G52" s="454"/>
      <c r="H52" s="454" t="s">
        <v>272</v>
      </c>
      <c r="I52" s="454">
        <v>0.00108</v>
      </c>
      <c r="J52" s="454" t="s">
        <v>198</v>
      </c>
      <c r="K52" s="454"/>
      <c r="L52" s="454"/>
      <c r="M52" s="454"/>
    </row>
    <row r="53" spans="1:13" ht="15">
      <c r="A53" s="455">
        <v>37332</v>
      </c>
      <c r="B53" s="454" t="s">
        <v>430</v>
      </c>
      <c r="C53" s="454" t="s">
        <v>272</v>
      </c>
      <c r="D53" s="454">
        <v>1.08</v>
      </c>
      <c r="E53" s="454" t="s">
        <v>428</v>
      </c>
      <c r="F53" s="454">
        <v>1.08</v>
      </c>
      <c r="G53" s="454"/>
      <c r="H53" s="454" t="s">
        <v>272</v>
      </c>
      <c r="I53" s="454">
        <v>0.00108</v>
      </c>
      <c r="J53" s="454" t="s">
        <v>198</v>
      </c>
      <c r="K53" s="454"/>
      <c r="L53" s="454"/>
      <c r="M53" s="454"/>
    </row>
    <row r="54" spans="1:13" ht="15">
      <c r="A54" s="455">
        <v>37521</v>
      </c>
      <c r="B54" s="454" t="s">
        <v>430</v>
      </c>
      <c r="C54" s="454" t="s">
        <v>272</v>
      </c>
      <c r="D54" s="454">
        <v>1.08</v>
      </c>
      <c r="E54" s="454" t="s">
        <v>428</v>
      </c>
      <c r="F54" s="454">
        <v>1.08</v>
      </c>
      <c r="G54" s="454"/>
      <c r="H54" s="454" t="s">
        <v>272</v>
      </c>
      <c r="I54" s="454">
        <v>0.00108</v>
      </c>
      <c r="J54" s="454" t="s">
        <v>198</v>
      </c>
      <c r="K54" s="454"/>
      <c r="L54" s="454"/>
      <c r="M54" s="454"/>
    </row>
    <row r="55" spans="1:13" ht="15">
      <c r="A55" s="455">
        <v>37591</v>
      </c>
      <c r="B55" s="454" t="s">
        <v>430</v>
      </c>
      <c r="C55" s="454" t="s">
        <v>272</v>
      </c>
      <c r="D55" s="454">
        <v>1.08</v>
      </c>
      <c r="E55" s="454" t="s">
        <v>428</v>
      </c>
      <c r="F55" s="454">
        <v>1.08</v>
      </c>
      <c r="G55" s="454"/>
      <c r="H55" s="454" t="s">
        <v>272</v>
      </c>
      <c r="I55" s="454">
        <v>0.00108</v>
      </c>
      <c r="J55" s="454" t="s">
        <v>198</v>
      </c>
      <c r="K55" s="454"/>
      <c r="L55" s="454"/>
      <c r="M55" s="454"/>
    </row>
    <row r="56" spans="1:13" ht="15">
      <c r="A56" s="455">
        <v>37671</v>
      </c>
      <c r="B56" s="454" t="s">
        <v>430</v>
      </c>
      <c r="C56" s="454" t="s">
        <v>272</v>
      </c>
      <c r="D56" s="454">
        <v>1.08</v>
      </c>
      <c r="E56" s="454" t="s">
        <v>428</v>
      </c>
      <c r="F56" s="454">
        <v>1.08</v>
      </c>
      <c r="G56" s="454"/>
      <c r="H56" s="454" t="s">
        <v>272</v>
      </c>
      <c r="I56" s="454">
        <v>0.00108</v>
      </c>
      <c r="J56" s="454" t="s">
        <v>198</v>
      </c>
      <c r="K56" s="454" t="s">
        <v>272</v>
      </c>
      <c r="L56" s="454">
        <v>0.00108</v>
      </c>
      <c r="M56" s="454" t="s">
        <v>198</v>
      </c>
    </row>
    <row r="57" spans="1:13" ht="15">
      <c r="A57" s="455">
        <v>36410</v>
      </c>
      <c r="B57" s="454" t="s">
        <v>431</v>
      </c>
      <c r="C57" s="454" t="s">
        <v>272</v>
      </c>
      <c r="D57" s="454">
        <v>12</v>
      </c>
      <c r="E57" s="454" t="s">
        <v>428</v>
      </c>
      <c r="F57" s="454">
        <v>12</v>
      </c>
      <c r="G57" s="454"/>
      <c r="H57" s="454" t="s">
        <v>272</v>
      </c>
      <c r="I57" s="454">
        <v>0.012</v>
      </c>
      <c r="J57" s="454" t="s">
        <v>198</v>
      </c>
      <c r="K57" s="454"/>
      <c r="L57" s="454"/>
      <c r="M57" s="454"/>
    </row>
    <row r="58" spans="1:13" ht="15">
      <c r="A58" s="455">
        <v>36782</v>
      </c>
      <c r="B58" s="454" t="s">
        <v>431</v>
      </c>
      <c r="C58" s="454" t="s">
        <v>272</v>
      </c>
      <c r="D58" s="454">
        <v>12</v>
      </c>
      <c r="E58" s="454" t="s">
        <v>428</v>
      </c>
      <c r="F58" s="454">
        <v>12</v>
      </c>
      <c r="G58" s="454"/>
      <c r="H58" s="454" t="s">
        <v>272</v>
      </c>
      <c r="I58" s="454">
        <v>0.012</v>
      </c>
      <c r="J58" s="454" t="s">
        <v>198</v>
      </c>
      <c r="K58" s="454"/>
      <c r="L58" s="454"/>
      <c r="M58" s="454"/>
    </row>
    <row r="59" spans="1:13" ht="15">
      <c r="A59" s="455">
        <v>36937</v>
      </c>
      <c r="B59" s="454" t="s">
        <v>431</v>
      </c>
      <c r="C59" s="454" t="s">
        <v>272</v>
      </c>
      <c r="D59" s="454">
        <v>12</v>
      </c>
      <c r="E59" s="454" t="s">
        <v>428</v>
      </c>
      <c r="F59" s="454">
        <v>12</v>
      </c>
      <c r="G59" s="454"/>
      <c r="H59" s="454" t="s">
        <v>272</v>
      </c>
      <c r="I59" s="454">
        <v>0.012</v>
      </c>
      <c r="J59" s="454" t="s">
        <v>198</v>
      </c>
      <c r="K59" s="454"/>
      <c r="L59" s="454"/>
      <c r="M59" s="454"/>
    </row>
    <row r="60" spans="1:13" ht="15">
      <c r="A60" s="455">
        <v>36955</v>
      </c>
      <c r="B60" s="454" t="s">
        <v>431</v>
      </c>
      <c r="C60" s="454" t="s">
        <v>272</v>
      </c>
      <c r="D60" s="454">
        <v>12</v>
      </c>
      <c r="E60" s="454" t="s">
        <v>428</v>
      </c>
      <c r="F60" s="454">
        <v>12</v>
      </c>
      <c r="G60" s="454"/>
      <c r="H60" s="454" t="s">
        <v>272</v>
      </c>
      <c r="I60" s="454">
        <v>0.012</v>
      </c>
      <c r="J60" s="454" t="s">
        <v>198</v>
      </c>
      <c r="K60" s="454"/>
      <c r="L60" s="454"/>
      <c r="M60" s="454"/>
    </row>
    <row r="61" spans="1:13" ht="15">
      <c r="A61" s="455">
        <v>37119</v>
      </c>
      <c r="B61" s="454" t="s">
        <v>431</v>
      </c>
      <c r="C61" s="454" t="s">
        <v>272</v>
      </c>
      <c r="D61" s="454">
        <v>12</v>
      </c>
      <c r="E61" s="454" t="s">
        <v>428</v>
      </c>
      <c r="F61" s="454">
        <v>12</v>
      </c>
      <c r="G61" s="454"/>
      <c r="H61" s="454" t="s">
        <v>272</v>
      </c>
      <c r="I61" s="454">
        <v>0.012</v>
      </c>
      <c r="J61" s="454" t="s">
        <v>198</v>
      </c>
      <c r="K61" s="454"/>
      <c r="L61" s="454"/>
      <c r="M61" s="454"/>
    </row>
    <row r="62" spans="1:13" ht="15">
      <c r="A62" s="455">
        <v>37196</v>
      </c>
      <c r="B62" s="454" t="s">
        <v>431</v>
      </c>
      <c r="C62" s="454" t="s">
        <v>272</v>
      </c>
      <c r="D62" s="454">
        <v>12</v>
      </c>
      <c r="E62" s="454" t="s">
        <v>428</v>
      </c>
      <c r="F62" s="454">
        <v>12</v>
      </c>
      <c r="G62" s="454"/>
      <c r="H62" s="454" t="s">
        <v>272</v>
      </c>
      <c r="I62" s="454">
        <v>0.012</v>
      </c>
      <c r="J62" s="454" t="s">
        <v>198</v>
      </c>
      <c r="K62" s="454"/>
      <c r="L62" s="454"/>
      <c r="M62" s="454"/>
    </row>
    <row r="63" spans="1:13" ht="15">
      <c r="A63" s="455">
        <v>37243</v>
      </c>
      <c r="B63" s="454" t="s">
        <v>431</v>
      </c>
      <c r="C63" s="454" t="s">
        <v>272</v>
      </c>
      <c r="D63" s="454">
        <v>12</v>
      </c>
      <c r="E63" s="454" t="s">
        <v>428</v>
      </c>
      <c r="F63" s="454">
        <v>12</v>
      </c>
      <c r="G63" s="454"/>
      <c r="H63" s="454" t="s">
        <v>272</v>
      </c>
      <c r="I63" s="454">
        <v>0.012</v>
      </c>
      <c r="J63" s="454" t="s">
        <v>198</v>
      </c>
      <c r="K63" s="454"/>
      <c r="L63" s="454"/>
      <c r="M63" s="454"/>
    </row>
    <row r="64" spans="1:13" ht="15">
      <c r="A64" s="455">
        <v>37332</v>
      </c>
      <c r="B64" s="454" t="s">
        <v>431</v>
      </c>
      <c r="C64" s="454" t="s">
        <v>272</v>
      </c>
      <c r="D64" s="454">
        <v>12</v>
      </c>
      <c r="E64" s="454" t="s">
        <v>428</v>
      </c>
      <c r="F64" s="454">
        <v>12</v>
      </c>
      <c r="G64" s="454"/>
      <c r="H64" s="454" t="s">
        <v>272</v>
      </c>
      <c r="I64" s="454">
        <v>0.012</v>
      </c>
      <c r="J64" s="454" t="s">
        <v>198</v>
      </c>
      <c r="K64" s="454"/>
      <c r="L64" s="454"/>
      <c r="M64" s="454"/>
    </row>
    <row r="65" spans="1:13" ht="15">
      <c r="A65" s="455">
        <v>37521</v>
      </c>
      <c r="B65" s="454" t="s">
        <v>431</v>
      </c>
      <c r="C65" s="454" t="s">
        <v>272</v>
      </c>
      <c r="D65" s="454">
        <v>12</v>
      </c>
      <c r="E65" s="454" t="s">
        <v>428</v>
      </c>
      <c r="F65" s="454">
        <v>12</v>
      </c>
      <c r="G65" s="454"/>
      <c r="H65" s="454" t="s">
        <v>272</v>
      </c>
      <c r="I65" s="454">
        <v>0.012</v>
      </c>
      <c r="J65" s="454" t="s">
        <v>198</v>
      </c>
      <c r="K65" s="454"/>
      <c r="L65" s="454"/>
      <c r="M65" s="454"/>
    </row>
    <row r="66" spans="1:13" ht="15">
      <c r="A66" s="455">
        <v>37591</v>
      </c>
      <c r="B66" s="454" t="s">
        <v>431</v>
      </c>
      <c r="C66" s="454" t="s">
        <v>272</v>
      </c>
      <c r="D66" s="454">
        <v>12</v>
      </c>
      <c r="E66" s="454" t="s">
        <v>428</v>
      </c>
      <c r="F66" s="454">
        <v>12</v>
      </c>
      <c r="G66" s="454"/>
      <c r="H66" s="454" t="s">
        <v>272</v>
      </c>
      <c r="I66" s="454">
        <v>0.012</v>
      </c>
      <c r="J66" s="454" t="s">
        <v>198</v>
      </c>
      <c r="K66" s="454"/>
      <c r="L66" s="454"/>
      <c r="M66" s="454"/>
    </row>
    <row r="67" spans="1:13" ht="15">
      <c r="A67" s="455">
        <v>37671</v>
      </c>
      <c r="B67" s="454" t="s">
        <v>431</v>
      </c>
      <c r="C67" s="454" t="s">
        <v>272</v>
      </c>
      <c r="D67" s="454">
        <v>12</v>
      </c>
      <c r="E67" s="454" t="s">
        <v>428</v>
      </c>
      <c r="F67" s="454">
        <v>12</v>
      </c>
      <c r="G67" s="454"/>
      <c r="H67" s="454" t="s">
        <v>272</v>
      </c>
      <c r="I67" s="454">
        <v>0.012</v>
      </c>
      <c r="J67" s="454" t="s">
        <v>198</v>
      </c>
      <c r="K67" s="454" t="s">
        <v>272</v>
      </c>
      <c r="L67" s="454">
        <v>0.012</v>
      </c>
      <c r="M67" s="454" t="s">
        <v>198</v>
      </c>
    </row>
    <row r="68" spans="1:13" ht="15">
      <c r="A68" s="455">
        <v>36410</v>
      </c>
      <c r="B68" s="454" t="s">
        <v>432</v>
      </c>
      <c r="C68" s="454" t="s">
        <v>272</v>
      </c>
      <c r="D68" s="454">
        <v>16</v>
      </c>
      <c r="E68" s="454" t="s">
        <v>428</v>
      </c>
      <c r="F68" s="454">
        <v>16</v>
      </c>
      <c r="G68" s="454"/>
      <c r="H68" s="454" t="s">
        <v>272</v>
      </c>
      <c r="I68" s="454">
        <v>0.016</v>
      </c>
      <c r="J68" s="454" t="s">
        <v>198</v>
      </c>
      <c r="K68" s="454"/>
      <c r="L68" s="454"/>
      <c r="M68" s="454"/>
    </row>
    <row r="69" spans="1:13" ht="15">
      <c r="A69" s="455">
        <v>36782</v>
      </c>
      <c r="B69" s="454" t="s">
        <v>432</v>
      </c>
      <c r="C69" s="454" t="s">
        <v>272</v>
      </c>
      <c r="D69" s="454">
        <v>16</v>
      </c>
      <c r="E69" s="454" t="s">
        <v>428</v>
      </c>
      <c r="F69" s="454">
        <v>16</v>
      </c>
      <c r="G69" s="454"/>
      <c r="H69" s="454" t="s">
        <v>272</v>
      </c>
      <c r="I69" s="454">
        <v>0.016</v>
      </c>
      <c r="J69" s="454" t="s">
        <v>198</v>
      </c>
      <c r="K69" s="454"/>
      <c r="L69" s="454"/>
      <c r="M69" s="454"/>
    </row>
    <row r="70" spans="1:13" ht="15">
      <c r="A70" s="455">
        <v>36937</v>
      </c>
      <c r="B70" s="454" t="s">
        <v>432</v>
      </c>
      <c r="C70" s="454" t="s">
        <v>272</v>
      </c>
      <c r="D70" s="454">
        <v>16</v>
      </c>
      <c r="E70" s="454" t="s">
        <v>428</v>
      </c>
      <c r="F70" s="454">
        <v>16</v>
      </c>
      <c r="G70" s="454"/>
      <c r="H70" s="454" t="s">
        <v>272</v>
      </c>
      <c r="I70" s="454">
        <v>0.016</v>
      </c>
      <c r="J70" s="454" t="s">
        <v>198</v>
      </c>
      <c r="K70" s="454"/>
      <c r="L70" s="454"/>
      <c r="M70" s="454"/>
    </row>
    <row r="71" spans="1:13" ht="15">
      <c r="A71" s="455">
        <v>36955</v>
      </c>
      <c r="B71" s="454" t="s">
        <v>432</v>
      </c>
      <c r="C71" s="454" t="s">
        <v>272</v>
      </c>
      <c r="D71" s="454">
        <v>16</v>
      </c>
      <c r="E71" s="454" t="s">
        <v>428</v>
      </c>
      <c r="F71" s="454">
        <v>16</v>
      </c>
      <c r="G71" s="454"/>
      <c r="H71" s="454" t="s">
        <v>272</v>
      </c>
      <c r="I71" s="454">
        <v>0.016</v>
      </c>
      <c r="J71" s="454" t="s">
        <v>198</v>
      </c>
      <c r="K71" s="454"/>
      <c r="L71" s="454"/>
      <c r="M71" s="454"/>
    </row>
    <row r="72" spans="1:13" ht="15">
      <c r="A72" s="455">
        <v>37119</v>
      </c>
      <c r="B72" s="454" t="s">
        <v>432</v>
      </c>
      <c r="C72" s="454" t="s">
        <v>272</v>
      </c>
      <c r="D72" s="454">
        <v>16</v>
      </c>
      <c r="E72" s="454" t="s">
        <v>428</v>
      </c>
      <c r="F72" s="454">
        <v>16</v>
      </c>
      <c r="G72" s="454"/>
      <c r="H72" s="454" t="s">
        <v>272</v>
      </c>
      <c r="I72" s="454">
        <v>0.016</v>
      </c>
      <c r="J72" s="454" t="s">
        <v>198</v>
      </c>
      <c r="K72" s="454"/>
      <c r="L72" s="454"/>
      <c r="M72" s="454"/>
    </row>
    <row r="73" spans="1:13" ht="15">
      <c r="A73" s="455">
        <v>37196</v>
      </c>
      <c r="B73" s="454" t="s">
        <v>432</v>
      </c>
      <c r="C73" s="454" t="s">
        <v>272</v>
      </c>
      <c r="D73" s="454">
        <v>16</v>
      </c>
      <c r="E73" s="454" t="s">
        <v>428</v>
      </c>
      <c r="F73" s="454">
        <v>16</v>
      </c>
      <c r="G73" s="454"/>
      <c r="H73" s="454" t="s">
        <v>272</v>
      </c>
      <c r="I73" s="454">
        <v>0.016</v>
      </c>
      <c r="J73" s="454" t="s">
        <v>198</v>
      </c>
      <c r="K73" s="454"/>
      <c r="L73" s="454"/>
      <c r="M73" s="454"/>
    </row>
    <row r="74" spans="1:13" ht="15">
      <c r="A74" s="455">
        <v>37243</v>
      </c>
      <c r="B74" s="454" t="s">
        <v>432</v>
      </c>
      <c r="C74" s="454" t="s">
        <v>272</v>
      </c>
      <c r="D74" s="454">
        <v>16</v>
      </c>
      <c r="E74" s="454" t="s">
        <v>428</v>
      </c>
      <c r="F74" s="454">
        <v>16</v>
      </c>
      <c r="G74" s="454"/>
      <c r="H74" s="454" t="s">
        <v>272</v>
      </c>
      <c r="I74" s="454">
        <v>0.016</v>
      </c>
      <c r="J74" s="454" t="s">
        <v>198</v>
      </c>
      <c r="K74" s="454"/>
      <c r="L74" s="454"/>
      <c r="M74" s="454"/>
    </row>
    <row r="75" spans="1:13" ht="15">
      <c r="A75" s="455">
        <v>37332</v>
      </c>
      <c r="B75" s="454" t="s">
        <v>432</v>
      </c>
      <c r="C75" s="454" t="s">
        <v>272</v>
      </c>
      <c r="D75" s="454">
        <v>16</v>
      </c>
      <c r="E75" s="454" t="s">
        <v>428</v>
      </c>
      <c r="F75" s="454">
        <v>16</v>
      </c>
      <c r="G75" s="454"/>
      <c r="H75" s="454" t="s">
        <v>272</v>
      </c>
      <c r="I75" s="454">
        <v>0.016</v>
      </c>
      <c r="J75" s="454" t="s">
        <v>198</v>
      </c>
      <c r="K75" s="454"/>
      <c r="L75" s="454"/>
      <c r="M75" s="454"/>
    </row>
    <row r="76" spans="1:13" ht="15">
      <c r="A76" s="455">
        <v>37521</v>
      </c>
      <c r="B76" s="454" t="s">
        <v>432</v>
      </c>
      <c r="C76" s="454" t="s">
        <v>272</v>
      </c>
      <c r="D76" s="454">
        <v>16</v>
      </c>
      <c r="E76" s="454" t="s">
        <v>428</v>
      </c>
      <c r="F76" s="454">
        <v>16</v>
      </c>
      <c r="G76" s="454"/>
      <c r="H76" s="454" t="s">
        <v>272</v>
      </c>
      <c r="I76" s="454">
        <v>0.016</v>
      </c>
      <c r="J76" s="454" t="s">
        <v>198</v>
      </c>
      <c r="K76" s="454"/>
      <c r="L76" s="454"/>
      <c r="M76" s="454"/>
    </row>
    <row r="77" spans="1:13" ht="15">
      <c r="A77" s="455">
        <v>37591</v>
      </c>
      <c r="B77" s="454" t="s">
        <v>432</v>
      </c>
      <c r="C77" s="454" t="s">
        <v>272</v>
      </c>
      <c r="D77" s="454">
        <v>16</v>
      </c>
      <c r="E77" s="454" t="s">
        <v>428</v>
      </c>
      <c r="F77" s="454">
        <v>16</v>
      </c>
      <c r="G77" s="454"/>
      <c r="H77" s="454" t="s">
        <v>272</v>
      </c>
      <c r="I77" s="454">
        <v>0.016</v>
      </c>
      <c r="J77" s="454" t="s">
        <v>198</v>
      </c>
      <c r="K77" s="454"/>
      <c r="L77" s="454"/>
      <c r="M77" s="454"/>
    </row>
    <row r="78" spans="1:13" ht="15">
      <c r="A78" s="455">
        <v>37671</v>
      </c>
      <c r="B78" s="454" t="s">
        <v>432</v>
      </c>
      <c r="C78" s="454" t="s">
        <v>272</v>
      </c>
      <c r="D78" s="454">
        <v>16</v>
      </c>
      <c r="E78" s="454" t="s">
        <v>428</v>
      </c>
      <c r="F78" s="454">
        <v>16</v>
      </c>
      <c r="G78" s="454"/>
      <c r="H78" s="454" t="s">
        <v>272</v>
      </c>
      <c r="I78" s="454">
        <v>0.016</v>
      </c>
      <c r="J78" s="454" t="s">
        <v>198</v>
      </c>
      <c r="K78" s="454" t="s">
        <v>272</v>
      </c>
      <c r="L78" s="454">
        <v>0.016</v>
      </c>
      <c r="M78" s="454" t="s">
        <v>198</v>
      </c>
    </row>
    <row r="79" spans="1:13" ht="15">
      <c r="A79" s="455">
        <v>36410</v>
      </c>
      <c r="B79" s="454" t="s">
        <v>433</v>
      </c>
      <c r="C79" s="454" t="s">
        <v>272</v>
      </c>
      <c r="D79" s="454">
        <v>16</v>
      </c>
      <c r="E79" s="454" t="s">
        <v>428</v>
      </c>
      <c r="F79" s="454">
        <v>16</v>
      </c>
      <c r="G79" s="454"/>
      <c r="H79" s="454" t="s">
        <v>272</v>
      </c>
      <c r="I79" s="454">
        <v>0.016</v>
      </c>
      <c r="J79" s="454" t="s">
        <v>198</v>
      </c>
      <c r="K79" s="454"/>
      <c r="L79" s="454"/>
      <c r="M79" s="454"/>
    </row>
    <row r="80" spans="1:13" ht="15">
      <c r="A80" s="455">
        <v>36782</v>
      </c>
      <c r="B80" s="454" t="s">
        <v>433</v>
      </c>
      <c r="C80" s="454" t="s">
        <v>272</v>
      </c>
      <c r="D80" s="454">
        <v>16</v>
      </c>
      <c r="E80" s="454" t="s">
        <v>428</v>
      </c>
      <c r="F80" s="454">
        <v>16</v>
      </c>
      <c r="G80" s="454"/>
      <c r="H80" s="454" t="s">
        <v>272</v>
      </c>
      <c r="I80" s="454">
        <v>0.016</v>
      </c>
      <c r="J80" s="454" t="s">
        <v>198</v>
      </c>
      <c r="K80" s="454"/>
      <c r="L80" s="454"/>
      <c r="M80" s="454"/>
    </row>
    <row r="81" spans="1:13" ht="15">
      <c r="A81" s="455">
        <v>36937</v>
      </c>
      <c r="B81" s="454" t="s">
        <v>433</v>
      </c>
      <c r="C81" s="454" t="s">
        <v>272</v>
      </c>
      <c r="D81" s="454">
        <v>16</v>
      </c>
      <c r="E81" s="454" t="s">
        <v>428</v>
      </c>
      <c r="F81" s="454">
        <v>16</v>
      </c>
      <c r="G81" s="454"/>
      <c r="H81" s="454" t="s">
        <v>272</v>
      </c>
      <c r="I81" s="454">
        <v>0.016</v>
      </c>
      <c r="J81" s="454" t="s">
        <v>198</v>
      </c>
      <c r="K81" s="454"/>
      <c r="L81" s="454"/>
      <c r="M81" s="454"/>
    </row>
    <row r="82" spans="1:13" ht="15">
      <c r="A82" s="455">
        <v>36955</v>
      </c>
      <c r="B82" s="454" t="s">
        <v>433</v>
      </c>
      <c r="C82" s="454" t="s">
        <v>272</v>
      </c>
      <c r="D82" s="454">
        <v>16</v>
      </c>
      <c r="E82" s="454" t="s">
        <v>428</v>
      </c>
      <c r="F82" s="454">
        <v>16</v>
      </c>
      <c r="G82" s="454"/>
      <c r="H82" s="454" t="s">
        <v>272</v>
      </c>
      <c r="I82" s="454">
        <v>0.016</v>
      </c>
      <c r="J82" s="454" t="s">
        <v>198</v>
      </c>
      <c r="K82" s="454"/>
      <c r="L82" s="454"/>
      <c r="M82" s="454"/>
    </row>
    <row r="83" spans="1:13" ht="15">
      <c r="A83" s="455">
        <v>37119</v>
      </c>
      <c r="B83" s="454" t="s">
        <v>433</v>
      </c>
      <c r="C83" s="454" t="s">
        <v>272</v>
      </c>
      <c r="D83" s="454">
        <v>16</v>
      </c>
      <c r="E83" s="454" t="s">
        <v>428</v>
      </c>
      <c r="F83" s="454">
        <v>16</v>
      </c>
      <c r="G83" s="454"/>
      <c r="H83" s="454" t="s">
        <v>272</v>
      </c>
      <c r="I83" s="454">
        <v>0.016</v>
      </c>
      <c r="J83" s="454" t="s">
        <v>198</v>
      </c>
      <c r="K83" s="454"/>
      <c r="L83" s="454"/>
      <c r="M83" s="454"/>
    </row>
    <row r="84" spans="1:13" ht="15">
      <c r="A84" s="455">
        <v>37196</v>
      </c>
      <c r="B84" s="454" t="s">
        <v>433</v>
      </c>
      <c r="C84" s="454" t="s">
        <v>272</v>
      </c>
      <c r="D84" s="454">
        <v>16</v>
      </c>
      <c r="E84" s="454" t="s">
        <v>428</v>
      </c>
      <c r="F84" s="454">
        <v>16</v>
      </c>
      <c r="G84" s="454"/>
      <c r="H84" s="454" t="s">
        <v>272</v>
      </c>
      <c r="I84" s="454">
        <v>0.016</v>
      </c>
      <c r="J84" s="454" t="s">
        <v>198</v>
      </c>
      <c r="K84" s="454"/>
      <c r="L84" s="454"/>
      <c r="M84" s="454"/>
    </row>
    <row r="85" spans="1:13" ht="15">
      <c r="A85" s="455">
        <v>37243</v>
      </c>
      <c r="B85" s="454" t="s">
        <v>433</v>
      </c>
      <c r="C85" s="454" t="s">
        <v>272</v>
      </c>
      <c r="D85" s="454">
        <v>16</v>
      </c>
      <c r="E85" s="454" t="s">
        <v>428</v>
      </c>
      <c r="F85" s="454">
        <v>16</v>
      </c>
      <c r="G85" s="454"/>
      <c r="H85" s="454" t="s">
        <v>272</v>
      </c>
      <c r="I85" s="454">
        <v>0.016</v>
      </c>
      <c r="J85" s="454" t="s">
        <v>198</v>
      </c>
      <c r="K85" s="454"/>
      <c r="L85" s="454"/>
      <c r="M85" s="454"/>
    </row>
    <row r="86" spans="1:13" ht="15">
      <c r="A86" s="455">
        <v>37332</v>
      </c>
      <c r="B86" s="454" t="s">
        <v>433</v>
      </c>
      <c r="C86" s="454" t="s">
        <v>272</v>
      </c>
      <c r="D86" s="454">
        <v>16</v>
      </c>
      <c r="E86" s="454" t="s">
        <v>428</v>
      </c>
      <c r="F86" s="454">
        <v>16</v>
      </c>
      <c r="G86" s="454"/>
      <c r="H86" s="454" t="s">
        <v>272</v>
      </c>
      <c r="I86" s="454">
        <v>0.016</v>
      </c>
      <c r="J86" s="454" t="s">
        <v>198</v>
      </c>
      <c r="K86" s="454"/>
      <c r="L86" s="454"/>
      <c r="M86" s="454"/>
    </row>
    <row r="87" spans="1:13" ht="15">
      <c r="A87" s="455">
        <v>37521</v>
      </c>
      <c r="B87" s="454" t="s">
        <v>433</v>
      </c>
      <c r="C87" s="454" t="s">
        <v>272</v>
      </c>
      <c r="D87" s="454">
        <v>16</v>
      </c>
      <c r="E87" s="454" t="s">
        <v>428</v>
      </c>
      <c r="F87" s="454">
        <v>16</v>
      </c>
      <c r="G87" s="454"/>
      <c r="H87" s="454" t="s">
        <v>272</v>
      </c>
      <c r="I87" s="454">
        <v>0.016</v>
      </c>
      <c r="J87" s="454" t="s">
        <v>198</v>
      </c>
      <c r="K87" s="454"/>
      <c r="L87" s="454"/>
      <c r="M87" s="454"/>
    </row>
    <row r="88" spans="1:13" ht="15">
      <c r="A88" s="455">
        <v>37591</v>
      </c>
      <c r="B88" s="454" t="s">
        <v>433</v>
      </c>
      <c r="C88" s="454" t="s">
        <v>272</v>
      </c>
      <c r="D88" s="454">
        <v>16</v>
      </c>
      <c r="E88" s="454" t="s">
        <v>428</v>
      </c>
      <c r="F88" s="454">
        <v>16</v>
      </c>
      <c r="G88" s="454"/>
      <c r="H88" s="454" t="s">
        <v>272</v>
      </c>
      <c r="I88" s="454">
        <v>0.016</v>
      </c>
      <c r="J88" s="454" t="s">
        <v>198</v>
      </c>
      <c r="K88" s="454"/>
      <c r="L88" s="454"/>
      <c r="M88" s="454"/>
    </row>
    <row r="89" spans="1:13" ht="15">
      <c r="A89" s="455">
        <v>37671</v>
      </c>
      <c r="B89" s="454" t="s">
        <v>433</v>
      </c>
      <c r="C89" s="454" t="s">
        <v>272</v>
      </c>
      <c r="D89" s="454">
        <v>16</v>
      </c>
      <c r="E89" s="454" t="s">
        <v>428</v>
      </c>
      <c r="F89" s="454">
        <v>16</v>
      </c>
      <c r="G89" s="454"/>
      <c r="H89" s="454" t="s">
        <v>272</v>
      </c>
      <c r="I89" s="454">
        <v>0.016</v>
      </c>
      <c r="J89" s="454" t="s">
        <v>198</v>
      </c>
      <c r="K89" s="454" t="s">
        <v>272</v>
      </c>
      <c r="L89" s="454">
        <v>0.016</v>
      </c>
      <c r="M89" s="454" t="s">
        <v>198</v>
      </c>
    </row>
    <row r="90" spans="1:13" ht="15">
      <c r="A90" s="455">
        <v>36410</v>
      </c>
      <c r="B90" s="454" t="s">
        <v>434</v>
      </c>
      <c r="C90" s="454" t="s">
        <v>272</v>
      </c>
      <c r="D90" s="454">
        <v>10</v>
      </c>
      <c r="E90" s="454" t="s">
        <v>428</v>
      </c>
      <c r="F90" s="454">
        <v>10</v>
      </c>
      <c r="G90" s="454"/>
      <c r="H90" s="454" t="s">
        <v>272</v>
      </c>
      <c r="I90" s="454">
        <v>0.01</v>
      </c>
      <c r="J90" s="454" t="s">
        <v>198</v>
      </c>
      <c r="K90" s="454"/>
      <c r="L90" s="454"/>
      <c r="M90" s="454"/>
    </row>
    <row r="91" spans="1:13" ht="15">
      <c r="A91" s="455">
        <v>36782</v>
      </c>
      <c r="B91" s="454" t="s">
        <v>434</v>
      </c>
      <c r="C91" s="454" t="s">
        <v>272</v>
      </c>
      <c r="D91" s="454">
        <v>10</v>
      </c>
      <c r="E91" s="454" t="s">
        <v>428</v>
      </c>
      <c r="F91" s="454">
        <v>10</v>
      </c>
      <c r="G91" s="454"/>
      <c r="H91" s="454" t="s">
        <v>272</v>
      </c>
      <c r="I91" s="454">
        <v>0.01</v>
      </c>
      <c r="J91" s="454" t="s">
        <v>198</v>
      </c>
      <c r="K91" s="454"/>
      <c r="L91" s="454"/>
      <c r="M91" s="454"/>
    </row>
    <row r="92" spans="1:13" ht="15">
      <c r="A92" s="455">
        <v>36937</v>
      </c>
      <c r="B92" s="454" t="s">
        <v>434</v>
      </c>
      <c r="C92" s="454" t="s">
        <v>272</v>
      </c>
      <c r="D92" s="454">
        <v>10</v>
      </c>
      <c r="E92" s="454" t="s">
        <v>428</v>
      </c>
      <c r="F92" s="454">
        <v>10</v>
      </c>
      <c r="G92" s="454"/>
      <c r="H92" s="454" t="s">
        <v>272</v>
      </c>
      <c r="I92" s="454">
        <v>0.01</v>
      </c>
      <c r="J92" s="454" t="s">
        <v>198</v>
      </c>
      <c r="K92" s="454"/>
      <c r="L92" s="454"/>
      <c r="M92" s="454"/>
    </row>
    <row r="93" spans="1:13" ht="15">
      <c r="A93" s="455">
        <v>36955</v>
      </c>
      <c r="B93" s="454" t="s">
        <v>434</v>
      </c>
      <c r="C93" s="454" t="s">
        <v>272</v>
      </c>
      <c r="D93" s="454">
        <v>10</v>
      </c>
      <c r="E93" s="454" t="s">
        <v>428</v>
      </c>
      <c r="F93" s="454">
        <v>10</v>
      </c>
      <c r="G93" s="454"/>
      <c r="H93" s="454" t="s">
        <v>272</v>
      </c>
      <c r="I93" s="454">
        <v>0.01</v>
      </c>
      <c r="J93" s="454" t="s">
        <v>198</v>
      </c>
      <c r="K93" s="454"/>
      <c r="L93" s="454"/>
      <c r="M93" s="454"/>
    </row>
    <row r="94" spans="1:13" ht="15">
      <c r="A94" s="455">
        <v>37119</v>
      </c>
      <c r="B94" s="454" t="s">
        <v>434</v>
      </c>
      <c r="C94" s="454" t="s">
        <v>272</v>
      </c>
      <c r="D94" s="454">
        <v>10</v>
      </c>
      <c r="E94" s="454" t="s">
        <v>428</v>
      </c>
      <c r="F94" s="454">
        <v>10</v>
      </c>
      <c r="G94" s="454"/>
      <c r="H94" s="454" t="s">
        <v>272</v>
      </c>
      <c r="I94" s="454">
        <v>0.01</v>
      </c>
      <c r="J94" s="454" t="s">
        <v>198</v>
      </c>
      <c r="K94" s="454"/>
      <c r="L94" s="454"/>
      <c r="M94" s="454"/>
    </row>
    <row r="95" spans="1:13" ht="15">
      <c r="A95" s="455">
        <v>37196</v>
      </c>
      <c r="B95" s="454" t="s">
        <v>434</v>
      </c>
      <c r="C95" s="454" t="s">
        <v>272</v>
      </c>
      <c r="D95" s="454">
        <v>10</v>
      </c>
      <c r="E95" s="454" t="s">
        <v>428</v>
      </c>
      <c r="F95" s="454">
        <v>10</v>
      </c>
      <c r="G95" s="454"/>
      <c r="H95" s="454" t="s">
        <v>272</v>
      </c>
      <c r="I95" s="454">
        <v>0.01</v>
      </c>
      <c r="J95" s="454" t="s">
        <v>198</v>
      </c>
      <c r="K95" s="454"/>
      <c r="L95" s="454"/>
      <c r="M95" s="454"/>
    </row>
    <row r="96" spans="1:13" ht="15">
      <c r="A96" s="455">
        <v>37243</v>
      </c>
      <c r="B96" s="454" t="s">
        <v>434</v>
      </c>
      <c r="C96" s="454" t="s">
        <v>272</v>
      </c>
      <c r="D96" s="454">
        <v>10</v>
      </c>
      <c r="E96" s="454" t="s">
        <v>428</v>
      </c>
      <c r="F96" s="454">
        <v>10</v>
      </c>
      <c r="G96" s="454"/>
      <c r="H96" s="454" t="s">
        <v>272</v>
      </c>
      <c r="I96" s="454">
        <v>0.01</v>
      </c>
      <c r="J96" s="454" t="s">
        <v>198</v>
      </c>
      <c r="K96" s="454"/>
      <c r="L96" s="454"/>
      <c r="M96" s="454"/>
    </row>
    <row r="97" spans="1:13" ht="15">
      <c r="A97" s="455">
        <v>37332</v>
      </c>
      <c r="B97" s="454" t="s">
        <v>434</v>
      </c>
      <c r="C97" s="454" t="s">
        <v>272</v>
      </c>
      <c r="D97" s="454">
        <v>10</v>
      </c>
      <c r="E97" s="454" t="s">
        <v>428</v>
      </c>
      <c r="F97" s="454">
        <v>10</v>
      </c>
      <c r="G97" s="454"/>
      <c r="H97" s="454" t="s">
        <v>272</v>
      </c>
      <c r="I97" s="454">
        <v>0.01</v>
      </c>
      <c r="J97" s="454" t="s">
        <v>198</v>
      </c>
      <c r="K97" s="454"/>
      <c r="L97" s="454"/>
      <c r="M97" s="454"/>
    </row>
    <row r="98" spans="1:13" ht="15">
      <c r="A98" s="455">
        <v>37521</v>
      </c>
      <c r="B98" s="454" t="s">
        <v>434</v>
      </c>
      <c r="C98" s="454" t="s">
        <v>272</v>
      </c>
      <c r="D98" s="454">
        <v>10</v>
      </c>
      <c r="E98" s="454" t="s">
        <v>428</v>
      </c>
      <c r="F98" s="454">
        <v>10</v>
      </c>
      <c r="G98" s="454"/>
      <c r="H98" s="454" t="s">
        <v>272</v>
      </c>
      <c r="I98" s="454">
        <v>0.01</v>
      </c>
      <c r="J98" s="454" t="s">
        <v>198</v>
      </c>
      <c r="K98" s="454"/>
      <c r="L98" s="454"/>
      <c r="M98" s="454"/>
    </row>
    <row r="99" spans="1:13" ht="15">
      <c r="A99" s="455">
        <v>37591</v>
      </c>
      <c r="B99" s="454" t="s">
        <v>434</v>
      </c>
      <c r="C99" s="454" t="s">
        <v>272</v>
      </c>
      <c r="D99" s="454">
        <v>10</v>
      </c>
      <c r="E99" s="454" t="s">
        <v>428</v>
      </c>
      <c r="F99" s="454">
        <v>10</v>
      </c>
      <c r="G99" s="454"/>
      <c r="H99" s="454" t="s">
        <v>272</v>
      </c>
      <c r="I99" s="454">
        <v>0.01</v>
      </c>
      <c r="J99" s="454" t="s">
        <v>198</v>
      </c>
      <c r="K99" s="454"/>
      <c r="L99" s="454"/>
      <c r="M99" s="454"/>
    </row>
    <row r="100" spans="1:13" ht="15">
      <c r="A100" s="455">
        <v>37671</v>
      </c>
      <c r="B100" s="454" t="s">
        <v>434</v>
      </c>
      <c r="C100" s="454" t="s">
        <v>272</v>
      </c>
      <c r="D100" s="454">
        <v>10</v>
      </c>
      <c r="E100" s="454" t="s">
        <v>428</v>
      </c>
      <c r="F100" s="454">
        <v>10</v>
      </c>
      <c r="G100" s="454"/>
      <c r="H100" s="454" t="s">
        <v>272</v>
      </c>
      <c r="I100" s="454">
        <v>0.01</v>
      </c>
      <c r="J100" s="454" t="s">
        <v>198</v>
      </c>
      <c r="K100" s="454" t="s">
        <v>272</v>
      </c>
      <c r="L100" s="454">
        <v>0.01</v>
      </c>
      <c r="M100" s="454" t="s">
        <v>198</v>
      </c>
    </row>
    <row r="101" spans="1:13" ht="15">
      <c r="A101" s="455">
        <v>36410</v>
      </c>
      <c r="B101" s="454" t="s">
        <v>435</v>
      </c>
      <c r="C101" s="454" t="s">
        <v>272</v>
      </c>
      <c r="D101" s="454">
        <v>16</v>
      </c>
      <c r="E101" s="454" t="s">
        <v>428</v>
      </c>
      <c r="F101" s="454">
        <v>16</v>
      </c>
      <c r="G101" s="454"/>
      <c r="H101" s="454" t="s">
        <v>272</v>
      </c>
      <c r="I101" s="454">
        <v>0.016</v>
      </c>
      <c r="J101" s="454" t="s">
        <v>198</v>
      </c>
      <c r="K101" s="454"/>
      <c r="L101" s="454"/>
      <c r="M101" s="454"/>
    </row>
    <row r="102" spans="1:13" ht="15">
      <c r="A102" s="455">
        <v>36782</v>
      </c>
      <c r="B102" s="454" t="s">
        <v>435</v>
      </c>
      <c r="C102" s="454" t="s">
        <v>272</v>
      </c>
      <c r="D102" s="454">
        <v>16</v>
      </c>
      <c r="E102" s="454" t="s">
        <v>428</v>
      </c>
      <c r="F102" s="454">
        <v>16</v>
      </c>
      <c r="G102" s="454"/>
      <c r="H102" s="454" t="s">
        <v>272</v>
      </c>
      <c r="I102" s="454">
        <v>0.016</v>
      </c>
      <c r="J102" s="454" t="s">
        <v>198</v>
      </c>
      <c r="K102" s="454"/>
      <c r="L102" s="454"/>
      <c r="M102" s="454"/>
    </row>
    <row r="103" spans="1:13" ht="15">
      <c r="A103" s="455">
        <v>36937</v>
      </c>
      <c r="B103" s="454" t="s">
        <v>435</v>
      </c>
      <c r="C103" s="454" t="s">
        <v>272</v>
      </c>
      <c r="D103" s="454">
        <v>16</v>
      </c>
      <c r="E103" s="454" t="s">
        <v>428</v>
      </c>
      <c r="F103" s="454">
        <v>16</v>
      </c>
      <c r="G103" s="454"/>
      <c r="H103" s="454" t="s">
        <v>272</v>
      </c>
      <c r="I103" s="454">
        <v>0.016</v>
      </c>
      <c r="J103" s="454" t="s">
        <v>198</v>
      </c>
      <c r="K103" s="454"/>
      <c r="L103" s="454"/>
      <c r="M103" s="454"/>
    </row>
    <row r="104" spans="1:13" ht="15">
      <c r="A104" s="455">
        <v>36955</v>
      </c>
      <c r="B104" s="454" t="s">
        <v>435</v>
      </c>
      <c r="C104" s="454" t="s">
        <v>272</v>
      </c>
      <c r="D104" s="454">
        <v>16</v>
      </c>
      <c r="E104" s="454" t="s">
        <v>428</v>
      </c>
      <c r="F104" s="454">
        <v>16</v>
      </c>
      <c r="G104" s="454"/>
      <c r="H104" s="454" t="s">
        <v>272</v>
      </c>
      <c r="I104" s="454">
        <v>0.016</v>
      </c>
      <c r="J104" s="454" t="s">
        <v>198</v>
      </c>
      <c r="K104" s="454"/>
      <c r="L104" s="454"/>
      <c r="M104" s="454"/>
    </row>
    <row r="105" spans="1:13" ht="15">
      <c r="A105" s="455">
        <v>37119</v>
      </c>
      <c r="B105" s="454" t="s">
        <v>435</v>
      </c>
      <c r="C105" s="454" t="s">
        <v>272</v>
      </c>
      <c r="D105" s="454">
        <v>16</v>
      </c>
      <c r="E105" s="454" t="s">
        <v>428</v>
      </c>
      <c r="F105" s="454">
        <v>16</v>
      </c>
      <c r="G105" s="454"/>
      <c r="H105" s="454" t="s">
        <v>272</v>
      </c>
      <c r="I105" s="454">
        <v>0.016</v>
      </c>
      <c r="J105" s="454" t="s">
        <v>198</v>
      </c>
      <c r="K105" s="454"/>
      <c r="L105" s="454"/>
      <c r="M105" s="454"/>
    </row>
    <row r="106" spans="1:13" ht="15">
      <c r="A106" s="455">
        <v>37196</v>
      </c>
      <c r="B106" s="454" t="s">
        <v>435</v>
      </c>
      <c r="C106" s="454" t="s">
        <v>272</v>
      </c>
      <c r="D106" s="454">
        <v>16</v>
      </c>
      <c r="E106" s="454" t="s">
        <v>428</v>
      </c>
      <c r="F106" s="454">
        <v>16</v>
      </c>
      <c r="G106" s="454"/>
      <c r="H106" s="454" t="s">
        <v>272</v>
      </c>
      <c r="I106" s="454">
        <v>0.016</v>
      </c>
      <c r="J106" s="454" t="s">
        <v>198</v>
      </c>
      <c r="K106" s="454"/>
      <c r="L106" s="454"/>
      <c r="M106" s="454"/>
    </row>
    <row r="107" spans="1:13" ht="15">
      <c r="A107" s="455">
        <v>37243</v>
      </c>
      <c r="B107" s="454" t="s">
        <v>435</v>
      </c>
      <c r="C107" s="454" t="s">
        <v>272</v>
      </c>
      <c r="D107" s="454">
        <v>16</v>
      </c>
      <c r="E107" s="454" t="s">
        <v>428</v>
      </c>
      <c r="F107" s="454">
        <v>16</v>
      </c>
      <c r="G107" s="454"/>
      <c r="H107" s="454" t="s">
        <v>272</v>
      </c>
      <c r="I107" s="454">
        <v>0.016</v>
      </c>
      <c r="J107" s="454" t="s">
        <v>198</v>
      </c>
      <c r="K107" s="454"/>
      <c r="L107" s="454"/>
      <c r="M107" s="454"/>
    </row>
    <row r="108" spans="1:13" ht="15">
      <c r="A108" s="455">
        <v>37332</v>
      </c>
      <c r="B108" s="454" t="s">
        <v>435</v>
      </c>
      <c r="C108" s="454" t="s">
        <v>272</v>
      </c>
      <c r="D108" s="454">
        <v>16</v>
      </c>
      <c r="E108" s="454" t="s">
        <v>428</v>
      </c>
      <c r="F108" s="454">
        <v>16</v>
      </c>
      <c r="G108" s="454"/>
      <c r="H108" s="454" t="s">
        <v>272</v>
      </c>
      <c r="I108" s="454">
        <v>0.016</v>
      </c>
      <c r="J108" s="454" t="s">
        <v>198</v>
      </c>
      <c r="K108" s="454"/>
      <c r="L108" s="454"/>
      <c r="M108" s="454"/>
    </row>
    <row r="109" spans="1:13" ht="15">
      <c r="A109" s="455">
        <v>37521</v>
      </c>
      <c r="B109" s="454" t="s">
        <v>435</v>
      </c>
      <c r="C109" s="454" t="s">
        <v>272</v>
      </c>
      <c r="D109" s="454">
        <v>16</v>
      </c>
      <c r="E109" s="454" t="s">
        <v>428</v>
      </c>
      <c r="F109" s="454">
        <v>16</v>
      </c>
      <c r="G109" s="454"/>
      <c r="H109" s="454" t="s">
        <v>272</v>
      </c>
      <c r="I109" s="454">
        <v>0.016</v>
      </c>
      <c r="J109" s="454" t="s">
        <v>198</v>
      </c>
      <c r="K109" s="454"/>
      <c r="L109" s="454"/>
      <c r="M109" s="454"/>
    </row>
    <row r="110" spans="1:13" ht="15">
      <c r="A110" s="455">
        <v>37591</v>
      </c>
      <c r="B110" s="454" t="s">
        <v>435</v>
      </c>
      <c r="C110" s="454" t="s">
        <v>272</v>
      </c>
      <c r="D110" s="454">
        <v>16</v>
      </c>
      <c r="E110" s="454" t="s">
        <v>428</v>
      </c>
      <c r="F110" s="454">
        <v>16</v>
      </c>
      <c r="G110" s="454"/>
      <c r="H110" s="454" t="s">
        <v>272</v>
      </c>
      <c r="I110" s="454">
        <v>0.016</v>
      </c>
      <c r="J110" s="454" t="s">
        <v>198</v>
      </c>
      <c r="K110" s="454"/>
      <c r="L110" s="454"/>
      <c r="M110" s="454"/>
    </row>
    <row r="111" spans="1:13" ht="15">
      <c r="A111" s="455">
        <v>37671</v>
      </c>
      <c r="B111" s="454" t="s">
        <v>435</v>
      </c>
      <c r="C111" s="454" t="s">
        <v>272</v>
      </c>
      <c r="D111" s="454">
        <v>16</v>
      </c>
      <c r="E111" s="454" t="s">
        <v>428</v>
      </c>
      <c r="F111" s="454">
        <v>16</v>
      </c>
      <c r="G111" s="454"/>
      <c r="H111" s="454" t="s">
        <v>272</v>
      </c>
      <c r="I111" s="454">
        <v>0.016</v>
      </c>
      <c r="J111" s="454" t="s">
        <v>198</v>
      </c>
      <c r="K111" s="454" t="s">
        <v>272</v>
      </c>
      <c r="L111" s="454">
        <v>0.016</v>
      </c>
      <c r="M111" s="454" t="s">
        <v>198</v>
      </c>
    </row>
    <row r="112" spans="1:13" ht="15">
      <c r="A112" s="455">
        <v>36410</v>
      </c>
      <c r="B112" s="454" t="s">
        <v>436</v>
      </c>
      <c r="C112" s="454" t="s">
        <v>272</v>
      </c>
      <c r="D112" s="454">
        <v>14</v>
      </c>
      <c r="E112" s="454" t="s">
        <v>428</v>
      </c>
      <c r="F112" s="454">
        <v>14</v>
      </c>
      <c r="G112" s="454"/>
      <c r="H112" s="454" t="s">
        <v>272</v>
      </c>
      <c r="I112" s="454">
        <v>0.014</v>
      </c>
      <c r="J112" s="454" t="s">
        <v>198</v>
      </c>
      <c r="K112" s="454"/>
      <c r="L112" s="454"/>
      <c r="M112" s="454"/>
    </row>
    <row r="113" spans="1:13" ht="15">
      <c r="A113" s="455">
        <v>36782</v>
      </c>
      <c r="B113" s="454" t="s">
        <v>436</v>
      </c>
      <c r="C113" s="454" t="s">
        <v>272</v>
      </c>
      <c r="D113" s="454">
        <v>14</v>
      </c>
      <c r="E113" s="454" t="s">
        <v>428</v>
      </c>
      <c r="F113" s="454">
        <v>14</v>
      </c>
      <c r="G113" s="454"/>
      <c r="H113" s="454" t="s">
        <v>272</v>
      </c>
      <c r="I113" s="454">
        <v>0.014</v>
      </c>
      <c r="J113" s="454" t="s">
        <v>198</v>
      </c>
      <c r="K113" s="454"/>
      <c r="L113" s="454"/>
      <c r="M113" s="454"/>
    </row>
    <row r="114" spans="1:13" ht="15">
      <c r="A114" s="455">
        <v>36937</v>
      </c>
      <c r="B114" s="454" t="s">
        <v>436</v>
      </c>
      <c r="C114" s="454" t="s">
        <v>272</v>
      </c>
      <c r="D114" s="454">
        <v>14</v>
      </c>
      <c r="E114" s="454" t="s">
        <v>428</v>
      </c>
      <c r="F114" s="454">
        <v>14</v>
      </c>
      <c r="G114" s="454"/>
      <c r="H114" s="454" t="s">
        <v>272</v>
      </c>
      <c r="I114" s="454">
        <v>0.014</v>
      </c>
      <c r="J114" s="454" t="s">
        <v>198</v>
      </c>
      <c r="K114" s="454"/>
      <c r="L114" s="454"/>
      <c r="M114" s="454"/>
    </row>
    <row r="115" spans="1:13" ht="15">
      <c r="A115" s="455">
        <v>36955</v>
      </c>
      <c r="B115" s="454" t="s">
        <v>436</v>
      </c>
      <c r="C115" s="454" t="s">
        <v>272</v>
      </c>
      <c r="D115" s="454">
        <v>14</v>
      </c>
      <c r="E115" s="454" t="s">
        <v>428</v>
      </c>
      <c r="F115" s="454">
        <v>14</v>
      </c>
      <c r="G115" s="454"/>
      <c r="H115" s="454" t="s">
        <v>272</v>
      </c>
      <c r="I115" s="454">
        <v>0.014</v>
      </c>
      <c r="J115" s="454" t="s">
        <v>198</v>
      </c>
      <c r="K115" s="454"/>
      <c r="L115" s="454"/>
      <c r="M115" s="454"/>
    </row>
    <row r="116" spans="1:13" ht="15">
      <c r="A116" s="455">
        <v>37119</v>
      </c>
      <c r="B116" s="454" t="s">
        <v>436</v>
      </c>
      <c r="C116" s="454" t="s">
        <v>272</v>
      </c>
      <c r="D116" s="454">
        <v>14</v>
      </c>
      <c r="E116" s="454" t="s">
        <v>428</v>
      </c>
      <c r="F116" s="454">
        <v>14</v>
      </c>
      <c r="G116" s="454"/>
      <c r="H116" s="454" t="s">
        <v>272</v>
      </c>
      <c r="I116" s="454">
        <v>0.014</v>
      </c>
      <c r="J116" s="454" t="s">
        <v>198</v>
      </c>
      <c r="K116" s="454"/>
      <c r="L116" s="454"/>
      <c r="M116" s="454"/>
    </row>
    <row r="117" spans="1:13" ht="15">
      <c r="A117" s="455">
        <v>37196</v>
      </c>
      <c r="B117" s="454" t="s">
        <v>436</v>
      </c>
      <c r="C117" s="454" t="s">
        <v>272</v>
      </c>
      <c r="D117" s="454">
        <v>14</v>
      </c>
      <c r="E117" s="454" t="s">
        <v>428</v>
      </c>
      <c r="F117" s="454">
        <v>14</v>
      </c>
      <c r="G117" s="454"/>
      <c r="H117" s="454" t="s">
        <v>272</v>
      </c>
      <c r="I117" s="454">
        <v>0.014</v>
      </c>
      <c r="J117" s="454" t="s">
        <v>198</v>
      </c>
      <c r="K117" s="454"/>
      <c r="L117" s="454"/>
      <c r="M117" s="454"/>
    </row>
    <row r="118" spans="1:13" ht="15">
      <c r="A118" s="455">
        <v>37243</v>
      </c>
      <c r="B118" s="454" t="s">
        <v>436</v>
      </c>
      <c r="C118" s="454" t="s">
        <v>272</v>
      </c>
      <c r="D118" s="454">
        <v>14</v>
      </c>
      <c r="E118" s="454" t="s">
        <v>428</v>
      </c>
      <c r="F118" s="454">
        <v>14</v>
      </c>
      <c r="G118" s="454"/>
      <c r="H118" s="454" t="s">
        <v>272</v>
      </c>
      <c r="I118" s="454">
        <v>0.014</v>
      </c>
      <c r="J118" s="454" t="s">
        <v>198</v>
      </c>
      <c r="K118" s="454"/>
      <c r="L118" s="454"/>
      <c r="M118" s="454"/>
    </row>
    <row r="119" spans="1:13" ht="15">
      <c r="A119" s="455">
        <v>37332</v>
      </c>
      <c r="B119" s="454" t="s">
        <v>436</v>
      </c>
      <c r="C119" s="454" t="s">
        <v>272</v>
      </c>
      <c r="D119" s="454">
        <v>14</v>
      </c>
      <c r="E119" s="454" t="s">
        <v>428</v>
      </c>
      <c r="F119" s="454">
        <v>14</v>
      </c>
      <c r="G119" s="454"/>
      <c r="H119" s="454" t="s">
        <v>272</v>
      </c>
      <c r="I119" s="454">
        <v>0.014</v>
      </c>
      <c r="J119" s="454" t="s">
        <v>198</v>
      </c>
      <c r="K119" s="454"/>
      <c r="L119" s="454"/>
      <c r="M119" s="454"/>
    </row>
    <row r="120" spans="1:13" ht="15">
      <c r="A120" s="455">
        <v>37521</v>
      </c>
      <c r="B120" s="454" t="s">
        <v>436</v>
      </c>
      <c r="C120" s="454" t="s">
        <v>272</v>
      </c>
      <c r="D120" s="454">
        <v>14</v>
      </c>
      <c r="E120" s="454" t="s">
        <v>428</v>
      </c>
      <c r="F120" s="454">
        <v>14</v>
      </c>
      <c r="G120" s="454"/>
      <c r="H120" s="454" t="s">
        <v>272</v>
      </c>
      <c r="I120" s="454">
        <v>0.014</v>
      </c>
      <c r="J120" s="454" t="s">
        <v>198</v>
      </c>
      <c r="K120" s="454"/>
      <c r="L120" s="454"/>
      <c r="M120" s="454"/>
    </row>
    <row r="121" spans="1:13" ht="15">
      <c r="A121" s="455">
        <v>37591</v>
      </c>
      <c r="B121" s="454" t="s">
        <v>436</v>
      </c>
      <c r="C121" s="454" t="s">
        <v>272</v>
      </c>
      <c r="D121" s="454">
        <v>14</v>
      </c>
      <c r="E121" s="454" t="s">
        <v>428</v>
      </c>
      <c r="F121" s="454">
        <v>14</v>
      </c>
      <c r="G121" s="454"/>
      <c r="H121" s="454" t="s">
        <v>272</v>
      </c>
      <c r="I121" s="454">
        <v>0.014</v>
      </c>
      <c r="J121" s="454" t="s">
        <v>198</v>
      </c>
      <c r="K121" s="454"/>
      <c r="L121" s="454"/>
      <c r="M121" s="454"/>
    </row>
    <row r="122" spans="1:13" ht="15">
      <c r="A122" s="455">
        <v>37671</v>
      </c>
      <c r="B122" s="454" t="s">
        <v>436</v>
      </c>
      <c r="C122" s="454" t="s">
        <v>272</v>
      </c>
      <c r="D122" s="454">
        <v>14</v>
      </c>
      <c r="E122" s="454" t="s">
        <v>428</v>
      </c>
      <c r="F122" s="454">
        <v>14</v>
      </c>
      <c r="G122" s="454"/>
      <c r="H122" s="454" t="s">
        <v>272</v>
      </c>
      <c r="I122" s="454">
        <v>0.014</v>
      </c>
      <c r="J122" s="454" t="s">
        <v>198</v>
      </c>
      <c r="K122" s="454" t="s">
        <v>272</v>
      </c>
      <c r="L122" s="454">
        <v>0.014</v>
      </c>
      <c r="M122" s="454" t="s">
        <v>198</v>
      </c>
    </row>
    <row r="123" spans="1:13" ht="15">
      <c r="A123" s="455">
        <v>36410</v>
      </c>
      <c r="B123" s="454" t="s">
        <v>437</v>
      </c>
      <c r="C123" s="454" t="s">
        <v>272</v>
      </c>
      <c r="D123" s="454">
        <v>16</v>
      </c>
      <c r="E123" s="454" t="s">
        <v>428</v>
      </c>
      <c r="F123" s="454">
        <v>16</v>
      </c>
      <c r="G123" s="454"/>
      <c r="H123" s="454" t="s">
        <v>272</v>
      </c>
      <c r="I123" s="454">
        <v>0.016</v>
      </c>
      <c r="J123" s="454" t="s">
        <v>198</v>
      </c>
      <c r="K123" s="454"/>
      <c r="L123" s="454"/>
      <c r="M123" s="454"/>
    </row>
    <row r="124" spans="1:13" ht="15">
      <c r="A124" s="455">
        <v>36782</v>
      </c>
      <c r="B124" s="454" t="s">
        <v>437</v>
      </c>
      <c r="C124" s="454" t="s">
        <v>272</v>
      </c>
      <c r="D124" s="454">
        <v>16</v>
      </c>
      <c r="E124" s="454" t="s">
        <v>428</v>
      </c>
      <c r="F124" s="454">
        <v>16</v>
      </c>
      <c r="G124" s="454"/>
      <c r="H124" s="454" t="s">
        <v>272</v>
      </c>
      <c r="I124" s="454">
        <v>0.016</v>
      </c>
      <c r="J124" s="454" t="s">
        <v>198</v>
      </c>
      <c r="K124" s="454"/>
      <c r="L124" s="454"/>
      <c r="M124" s="454"/>
    </row>
    <row r="125" spans="1:13" ht="15">
      <c r="A125" s="455">
        <v>36937</v>
      </c>
      <c r="B125" s="454" t="s">
        <v>437</v>
      </c>
      <c r="C125" s="454" t="s">
        <v>272</v>
      </c>
      <c r="D125" s="454">
        <v>16</v>
      </c>
      <c r="E125" s="454" t="s">
        <v>428</v>
      </c>
      <c r="F125" s="454">
        <v>16</v>
      </c>
      <c r="G125" s="454"/>
      <c r="H125" s="454" t="s">
        <v>272</v>
      </c>
      <c r="I125" s="454">
        <v>0.016</v>
      </c>
      <c r="J125" s="454" t="s">
        <v>198</v>
      </c>
      <c r="K125" s="454"/>
      <c r="L125" s="454"/>
      <c r="M125" s="454"/>
    </row>
    <row r="126" spans="1:13" ht="15">
      <c r="A126" s="455">
        <v>36955</v>
      </c>
      <c r="B126" s="454" t="s">
        <v>437</v>
      </c>
      <c r="C126" s="454" t="s">
        <v>272</v>
      </c>
      <c r="D126" s="454">
        <v>16</v>
      </c>
      <c r="E126" s="454" t="s">
        <v>428</v>
      </c>
      <c r="F126" s="454">
        <v>16</v>
      </c>
      <c r="G126" s="454"/>
      <c r="H126" s="454" t="s">
        <v>272</v>
      </c>
      <c r="I126" s="454">
        <v>0.016</v>
      </c>
      <c r="J126" s="454" t="s">
        <v>198</v>
      </c>
      <c r="K126" s="454"/>
      <c r="L126" s="454"/>
      <c r="M126" s="454"/>
    </row>
    <row r="127" spans="1:13" ht="15">
      <c r="A127" s="455">
        <v>37119</v>
      </c>
      <c r="B127" s="454" t="s">
        <v>437</v>
      </c>
      <c r="C127" s="454" t="s">
        <v>272</v>
      </c>
      <c r="D127" s="454">
        <v>16</v>
      </c>
      <c r="E127" s="454" t="s">
        <v>428</v>
      </c>
      <c r="F127" s="454">
        <v>16</v>
      </c>
      <c r="G127" s="454"/>
      <c r="H127" s="454" t="s">
        <v>272</v>
      </c>
      <c r="I127" s="454">
        <v>0.016</v>
      </c>
      <c r="J127" s="454" t="s">
        <v>198</v>
      </c>
      <c r="K127" s="454"/>
      <c r="L127" s="454"/>
      <c r="M127" s="454"/>
    </row>
    <row r="128" spans="1:13" ht="15">
      <c r="A128" s="455">
        <v>37196</v>
      </c>
      <c r="B128" s="454" t="s">
        <v>437</v>
      </c>
      <c r="C128" s="454" t="s">
        <v>272</v>
      </c>
      <c r="D128" s="454">
        <v>16</v>
      </c>
      <c r="E128" s="454" t="s">
        <v>428</v>
      </c>
      <c r="F128" s="454">
        <v>16</v>
      </c>
      <c r="G128" s="454"/>
      <c r="H128" s="454" t="s">
        <v>272</v>
      </c>
      <c r="I128" s="454">
        <v>0.016</v>
      </c>
      <c r="J128" s="454" t="s">
        <v>198</v>
      </c>
      <c r="K128" s="454"/>
      <c r="L128" s="454"/>
      <c r="M128" s="454"/>
    </row>
    <row r="129" spans="1:13" ht="15">
      <c r="A129" s="455">
        <v>37243</v>
      </c>
      <c r="B129" s="454" t="s">
        <v>437</v>
      </c>
      <c r="C129" s="454" t="s">
        <v>272</v>
      </c>
      <c r="D129" s="454">
        <v>16</v>
      </c>
      <c r="E129" s="454" t="s">
        <v>428</v>
      </c>
      <c r="F129" s="454">
        <v>16</v>
      </c>
      <c r="G129" s="454"/>
      <c r="H129" s="454" t="s">
        <v>272</v>
      </c>
      <c r="I129" s="454">
        <v>0.016</v>
      </c>
      <c r="J129" s="454" t="s">
        <v>198</v>
      </c>
      <c r="K129" s="454"/>
      <c r="L129" s="454"/>
      <c r="M129" s="454"/>
    </row>
    <row r="130" spans="1:13" ht="15">
      <c r="A130" s="455">
        <v>37332</v>
      </c>
      <c r="B130" s="454" t="s">
        <v>437</v>
      </c>
      <c r="C130" s="454" t="s">
        <v>272</v>
      </c>
      <c r="D130" s="454">
        <v>16</v>
      </c>
      <c r="E130" s="454" t="s">
        <v>428</v>
      </c>
      <c r="F130" s="454">
        <v>16</v>
      </c>
      <c r="G130" s="454"/>
      <c r="H130" s="454" t="s">
        <v>272</v>
      </c>
      <c r="I130" s="454">
        <v>0.016</v>
      </c>
      <c r="J130" s="454" t="s">
        <v>198</v>
      </c>
      <c r="K130" s="454"/>
      <c r="L130" s="454"/>
      <c r="M130" s="454"/>
    </row>
    <row r="131" spans="1:13" ht="15">
      <c r="A131" s="455">
        <v>37521</v>
      </c>
      <c r="B131" s="454" t="s">
        <v>437</v>
      </c>
      <c r="C131" s="454" t="s">
        <v>272</v>
      </c>
      <c r="D131" s="454">
        <v>16</v>
      </c>
      <c r="E131" s="454" t="s">
        <v>428</v>
      </c>
      <c r="F131" s="454">
        <v>16</v>
      </c>
      <c r="G131" s="454"/>
      <c r="H131" s="454" t="s">
        <v>272</v>
      </c>
      <c r="I131" s="454">
        <v>0.016</v>
      </c>
      <c r="J131" s="454" t="s">
        <v>198</v>
      </c>
      <c r="K131" s="454"/>
      <c r="L131" s="454"/>
      <c r="M131" s="454"/>
    </row>
    <row r="132" spans="1:13" ht="15">
      <c r="A132" s="455">
        <v>37591</v>
      </c>
      <c r="B132" s="454" t="s">
        <v>437</v>
      </c>
      <c r="C132" s="454" t="s">
        <v>272</v>
      </c>
      <c r="D132" s="454">
        <v>16</v>
      </c>
      <c r="E132" s="454" t="s">
        <v>428</v>
      </c>
      <c r="F132" s="454">
        <v>16</v>
      </c>
      <c r="G132" s="454"/>
      <c r="H132" s="454" t="s">
        <v>272</v>
      </c>
      <c r="I132" s="454">
        <v>0.016</v>
      </c>
      <c r="J132" s="454" t="s">
        <v>198</v>
      </c>
      <c r="K132" s="454"/>
      <c r="L132" s="454"/>
      <c r="M132" s="454"/>
    </row>
    <row r="133" spans="1:13" ht="15">
      <c r="A133" s="455">
        <v>37671</v>
      </c>
      <c r="B133" s="454" t="s">
        <v>437</v>
      </c>
      <c r="C133" s="454" t="s">
        <v>272</v>
      </c>
      <c r="D133" s="454">
        <v>16</v>
      </c>
      <c r="E133" s="454" t="s">
        <v>428</v>
      </c>
      <c r="F133" s="454">
        <v>16</v>
      </c>
      <c r="G133" s="454"/>
      <c r="H133" s="454" t="s">
        <v>272</v>
      </c>
      <c r="I133" s="454">
        <v>0.016</v>
      </c>
      <c r="J133" s="454" t="s">
        <v>198</v>
      </c>
      <c r="K133" s="454" t="s">
        <v>272</v>
      </c>
      <c r="L133" s="454">
        <v>0.016</v>
      </c>
      <c r="M133" s="454" t="s">
        <v>198</v>
      </c>
    </row>
    <row r="134" spans="1:13" ht="15">
      <c r="A134" s="455">
        <v>36410</v>
      </c>
      <c r="B134" s="454" t="s">
        <v>326</v>
      </c>
      <c r="C134" s="454" t="s">
        <v>272</v>
      </c>
      <c r="D134" s="454">
        <v>1.57</v>
      </c>
      <c r="E134" s="454" t="s">
        <v>428</v>
      </c>
      <c r="F134" s="454">
        <v>3.39</v>
      </c>
      <c r="G134" s="454"/>
      <c r="H134" s="454" t="s">
        <v>272</v>
      </c>
      <c r="I134" s="454">
        <v>0.00157</v>
      </c>
      <c r="J134" s="454" t="s">
        <v>198</v>
      </c>
      <c r="K134" s="454"/>
      <c r="L134" s="454"/>
      <c r="M134" s="454"/>
    </row>
    <row r="135" spans="1:13" ht="15">
      <c r="A135" s="455">
        <v>36782</v>
      </c>
      <c r="B135" s="454" t="s">
        <v>326</v>
      </c>
      <c r="C135" s="454" t="s">
        <v>272</v>
      </c>
      <c r="D135" s="454">
        <v>3.39</v>
      </c>
      <c r="E135" s="454" t="s">
        <v>428</v>
      </c>
      <c r="F135" s="454">
        <v>3.39</v>
      </c>
      <c r="G135" s="454"/>
      <c r="H135" s="454" t="s">
        <v>272</v>
      </c>
      <c r="I135" s="454">
        <v>0.0033900000000000002</v>
      </c>
      <c r="J135" s="454" t="s">
        <v>198</v>
      </c>
      <c r="K135" s="454"/>
      <c r="L135" s="454"/>
      <c r="M135" s="454"/>
    </row>
    <row r="136" spans="1:13" ht="15">
      <c r="A136" s="455">
        <v>36937</v>
      </c>
      <c r="B136" s="454" t="s">
        <v>326</v>
      </c>
      <c r="C136" s="454" t="s">
        <v>272</v>
      </c>
      <c r="D136" s="454">
        <v>3.39</v>
      </c>
      <c r="E136" s="454" t="s">
        <v>428</v>
      </c>
      <c r="F136" s="454">
        <v>3.39</v>
      </c>
      <c r="G136" s="454"/>
      <c r="H136" s="454" t="s">
        <v>272</v>
      </c>
      <c r="I136" s="454">
        <v>0.0033900000000000002</v>
      </c>
      <c r="J136" s="454" t="s">
        <v>198</v>
      </c>
      <c r="K136" s="454"/>
      <c r="L136" s="454"/>
      <c r="M136" s="454"/>
    </row>
    <row r="137" spans="1:13" ht="15">
      <c r="A137" s="455">
        <v>36955</v>
      </c>
      <c r="B137" s="454" t="s">
        <v>326</v>
      </c>
      <c r="C137" s="454" t="s">
        <v>272</v>
      </c>
      <c r="D137" s="454">
        <v>3.39</v>
      </c>
      <c r="E137" s="454" t="s">
        <v>428</v>
      </c>
      <c r="F137" s="454">
        <v>3.39</v>
      </c>
      <c r="G137" s="454"/>
      <c r="H137" s="454" t="s">
        <v>272</v>
      </c>
      <c r="I137" s="454">
        <v>0.0033900000000000002</v>
      </c>
      <c r="J137" s="454" t="s">
        <v>198</v>
      </c>
      <c r="K137" s="454"/>
      <c r="L137" s="454"/>
      <c r="M137" s="454"/>
    </row>
    <row r="138" spans="1:13" ht="15">
      <c r="A138" s="455">
        <v>37119</v>
      </c>
      <c r="B138" s="454" t="s">
        <v>326</v>
      </c>
      <c r="C138" s="454" t="s">
        <v>272</v>
      </c>
      <c r="D138" s="454">
        <v>3.39</v>
      </c>
      <c r="E138" s="454" t="s">
        <v>428</v>
      </c>
      <c r="F138" s="454">
        <v>3.39</v>
      </c>
      <c r="G138" s="454"/>
      <c r="H138" s="454" t="s">
        <v>272</v>
      </c>
      <c r="I138" s="454">
        <v>0.0033900000000000002</v>
      </c>
      <c r="J138" s="454" t="s">
        <v>198</v>
      </c>
      <c r="K138" s="454"/>
      <c r="L138" s="454"/>
      <c r="M138" s="454"/>
    </row>
    <row r="139" spans="1:13" ht="15">
      <c r="A139" s="455">
        <v>37196</v>
      </c>
      <c r="B139" s="454" t="s">
        <v>326</v>
      </c>
      <c r="C139" s="454" t="s">
        <v>272</v>
      </c>
      <c r="D139" s="454">
        <v>3.39</v>
      </c>
      <c r="E139" s="454" t="s">
        <v>428</v>
      </c>
      <c r="F139" s="454">
        <v>3.39</v>
      </c>
      <c r="G139" s="454"/>
      <c r="H139" s="454" t="s">
        <v>272</v>
      </c>
      <c r="I139" s="454">
        <v>0.0033900000000000002</v>
      </c>
      <c r="J139" s="454" t="s">
        <v>198</v>
      </c>
      <c r="K139" s="454"/>
      <c r="L139" s="454"/>
      <c r="M139" s="454"/>
    </row>
    <row r="140" spans="1:13" ht="15">
      <c r="A140" s="455">
        <v>37243</v>
      </c>
      <c r="B140" s="454" t="s">
        <v>326</v>
      </c>
      <c r="C140" s="454" t="s">
        <v>272</v>
      </c>
      <c r="D140" s="454">
        <v>3.39</v>
      </c>
      <c r="E140" s="454" t="s">
        <v>428</v>
      </c>
      <c r="F140" s="454">
        <v>3.39</v>
      </c>
      <c r="G140" s="454"/>
      <c r="H140" s="454" t="s">
        <v>272</v>
      </c>
      <c r="I140" s="454">
        <v>0.0033900000000000002</v>
      </c>
      <c r="J140" s="454" t="s">
        <v>198</v>
      </c>
      <c r="K140" s="454"/>
      <c r="L140" s="454"/>
      <c r="M140" s="454"/>
    </row>
    <row r="141" spans="1:13" ht="15">
      <c r="A141" s="455">
        <v>37332</v>
      </c>
      <c r="B141" s="454" t="s">
        <v>326</v>
      </c>
      <c r="C141" s="454" t="s">
        <v>272</v>
      </c>
      <c r="D141" s="454">
        <v>3.39</v>
      </c>
      <c r="E141" s="454" t="s">
        <v>428</v>
      </c>
      <c r="F141" s="454">
        <v>3.39</v>
      </c>
      <c r="G141" s="454"/>
      <c r="H141" s="454" t="s">
        <v>272</v>
      </c>
      <c r="I141" s="454">
        <v>0.0033900000000000002</v>
      </c>
      <c r="J141" s="454" t="s">
        <v>198</v>
      </c>
      <c r="K141" s="454"/>
      <c r="L141" s="454"/>
      <c r="M141" s="454"/>
    </row>
    <row r="142" spans="1:13" ht="15">
      <c r="A142" s="455">
        <v>37521</v>
      </c>
      <c r="B142" s="454" t="s">
        <v>326</v>
      </c>
      <c r="C142" s="454" t="s">
        <v>272</v>
      </c>
      <c r="D142" s="454">
        <v>3.39</v>
      </c>
      <c r="E142" s="454" t="s">
        <v>428</v>
      </c>
      <c r="F142" s="454">
        <v>3.39</v>
      </c>
      <c r="G142" s="454"/>
      <c r="H142" s="454" t="s">
        <v>272</v>
      </c>
      <c r="I142" s="454">
        <v>0.0033900000000000002</v>
      </c>
      <c r="J142" s="454" t="s">
        <v>198</v>
      </c>
      <c r="K142" s="454"/>
      <c r="L142" s="454"/>
      <c r="M142" s="454"/>
    </row>
    <row r="143" spans="1:13" ht="15">
      <c r="A143" s="455">
        <v>37591</v>
      </c>
      <c r="B143" s="454" t="s">
        <v>326</v>
      </c>
      <c r="C143" s="454" t="s">
        <v>272</v>
      </c>
      <c r="D143" s="454">
        <v>3.39</v>
      </c>
      <c r="E143" s="454" t="s">
        <v>428</v>
      </c>
      <c r="F143" s="454">
        <v>3.39</v>
      </c>
      <c r="G143" s="454"/>
      <c r="H143" s="454" t="s">
        <v>272</v>
      </c>
      <c r="I143" s="454">
        <v>0.0033900000000000002</v>
      </c>
      <c r="J143" s="454" t="s">
        <v>198</v>
      </c>
      <c r="K143" s="454"/>
      <c r="L143" s="454"/>
      <c r="M143" s="454"/>
    </row>
    <row r="144" spans="1:13" ht="15">
      <c r="A144" s="455">
        <v>37671</v>
      </c>
      <c r="B144" s="454" t="s">
        <v>326</v>
      </c>
      <c r="C144" s="454" t="s">
        <v>272</v>
      </c>
      <c r="D144" s="454">
        <v>3.39</v>
      </c>
      <c r="E144" s="454" t="s">
        <v>428</v>
      </c>
      <c r="F144" s="454">
        <v>3.39</v>
      </c>
      <c r="G144" s="454"/>
      <c r="H144" s="454" t="s">
        <v>272</v>
      </c>
      <c r="I144" s="454">
        <v>0.0033900000000000002</v>
      </c>
      <c r="J144" s="454" t="s">
        <v>198</v>
      </c>
      <c r="K144" s="454" t="s">
        <v>272</v>
      </c>
      <c r="L144" s="454">
        <v>0.00157</v>
      </c>
      <c r="M144" s="454" t="s">
        <v>198</v>
      </c>
    </row>
    <row r="145" spans="1:13" ht="15">
      <c r="A145" s="455">
        <v>36410</v>
      </c>
      <c r="B145" s="454" t="s">
        <v>220</v>
      </c>
      <c r="C145" s="454" t="s">
        <v>272</v>
      </c>
      <c r="D145" s="454">
        <v>3.4</v>
      </c>
      <c r="E145" s="454" t="s">
        <v>428</v>
      </c>
      <c r="F145" s="454">
        <v>3.4</v>
      </c>
      <c r="G145" s="454"/>
      <c r="H145" s="454" t="s">
        <v>272</v>
      </c>
      <c r="I145" s="454">
        <v>0.0034</v>
      </c>
      <c r="J145" s="454" t="s">
        <v>198</v>
      </c>
      <c r="K145" s="454"/>
      <c r="L145" s="454"/>
      <c r="M145" s="454"/>
    </row>
    <row r="146" spans="1:13" ht="15">
      <c r="A146" s="455">
        <v>36782</v>
      </c>
      <c r="B146" s="454" t="s">
        <v>220</v>
      </c>
      <c r="C146" s="454" t="s">
        <v>272</v>
      </c>
      <c r="D146" s="454">
        <v>3.4</v>
      </c>
      <c r="E146" s="454" t="s">
        <v>428</v>
      </c>
      <c r="F146" s="454">
        <v>3.4</v>
      </c>
      <c r="G146" s="454"/>
      <c r="H146" s="454" t="s">
        <v>272</v>
      </c>
      <c r="I146" s="454">
        <v>0.0034</v>
      </c>
      <c r="J146" s="454" t="s">
        <v>198</v>
      </c>
      <c r="K146" s="454"/>
      <c r="L146" s="454"/>
      <c r="M146" s="454"/>
    </row>
    <row r="147" spans="1:13" ht="15">
      <c r="A147" s="455">
        <v>36937</v>
      </c>
      <c r="B147" s="454" t="s">
        <v>220</v>
      </c>
      <c r="C147" s="454" t="s">
        <v>272</v>
      </c>
      <c r="D147" s="454">
        <v>3.4</v>
      </c>
      <c r="E147" s="454" t="s">
        <v>428</v>
      </c>
      <c r="F147" s="454">
        <v>3.4</v>
      </c>
      <c r="G147" s="454"/>
      <c r="H147" s="454" t="s">
        <v>272</v>
      </c>
      <c r="I147" s="454">
        <v>0.0034</v>
      </c>
      <c r="J147" s="454" t="s">
        <v>198</v>
      </c>
      <c r="K147" s="454"/>
      <c r="L147" s="454"/>
      <c r="M147" s="454"/>
    </row>
    <row r="148" spans="1:13" ht="15">
      <c r="A148" s="455">
        <v>36955</v>
      </c>
      <c r="B148" s="454" t="s">
        <v>220</v>
      </c>
      <c r="C148" s="454" t="s">
        <v>272</v>
      </c>
      <c r="D148" s="454">
        <v>3.4</v>
      </c>
      <c r="E148" s="454" t="s">
        <v>428</v>
      </c>
      <c r="F148" s="454">
        <v>3.4</v>
      </c>
      <c r="G148" s="454"/>
      <c r="H148" s="454" t="s">
        <v>272</v>
      </c>
      <c r="I148" s="454">
        <v>0.0034</v>
      </c>
      <c r="J148" s="454" t="s">
        <v>198</v>
      </c>
      <c r="K148" s="454"/>
      <c r="L148" s="454"/>
      <c r="M148" s="454"/>
    </row>
    <row r="149" spans="1:13" ht="15">
      <c r="A149" s="455">
        <v>37119</v>
      </c>
      <c r="B149" s="454" t="s">
        <v>220</v>
      </c>
      <c r="C149" s="454" t="s">
        <v>272</v>
      </c>
      <c r="D149" s="454">
        <v>3.4</v>
      </c>
      <c r="E149" s="454" t="s">
        <v>428</v>
      </c>
      <c r="F149" s="454">
        <v>3.4</v>
      </c>
      <c r="G149" s="454"/>
      <c r="H149" s="454" t="s">
        <v>272</v>
      </c>
      <c r="I149" s="454">
        <v>0.0034</v>
      </c>
      <c r="J149" s="454" t="s">
        <v>198</v>
      </c>
      <c r="K149" s="454"/>
      <c r="L149" s="454"/>
      <c r="M149" s="454"/>
    </row>
    <row r="150" spans="1:13" ht="15">
      <c r="A150" s="455">
        <v>37196</v>
      </c>
      <c r="B150" s="454" t="s">
        <v>220</v>
      </c>
      <c r="C150" s="454" t="s">
        <v>272</v>
      </c>
      <c r="D150" s="454">
        <v>3.4</v>
      </c>
      <c r="E150" s="454" t="s">
        <v>428</v>
      </c>
      <c r="F150" s="454">
        <v>3.4</v>
      </c>
      <c r="G150" s="454"/>
      <c r="H150" s="454" t="s">
        <v>272</v>
      </c>
      <c r="I150" s="454">
        <v>0.0034</v>
      </c>
      <c r="J150" s="454" t="s">
        <v>198</v>
      </c>
      <c r="K150" s="454"/>
      <c r="L150" s="454"/>
      <c r="M150" s="454"/>
    </row>
    <row r="151" spans="1:13" ht="15">
      <c r="A151" s="455">
        <v>37243</v>
      </c>
      <c r="B151" s="454" t="s">
        <v>220</v>
      </c>
      <c r="C151" s="454" t="s">
        <v>272</v>
      </c>
      <c r="D151" s="454">
        <v>3.4</v>
      </c>
      <c r="E151" s="454" t="s">
        <v>428</v>
      </c>
      <c r="F151" s="454">
        <v>3.4</v>
      </c>
      <c r="G151" s="454"/>
      <c r="H151" s="454" t="s">
        <v>272</v>
      </c>
      <c r="I151" s="454">
        <v>0.0034</v>
      </c>
      <c r="J151" s="454" t="s">
        <v>198</v>
      </c>
      <c r="K151" s="454"/>
      <c r="L151" s="454"/>
      <c r="M151" s="454"/>
    </row>
    <row r="152" spans="1:13" ht="15">
      <c r="A152" s="455">
        <v>37332</v>
      </c>
      <c r="B152" s="454" t="s">
        <v>220</v>
      </c>
      <c r="C152" s="454" t="s">
        <v>272</v>
      </c>
      <c r="D152" s="454">
        <v>3.4</v>
      </c>
      <c r="E152" s="454" t="s">
        <v>428</v>
      </c>
      <c r="F152" s="454">
        <v>3.4</v>
      </c>
      <c r="G152" s="454"/>
      <c r="H152" s="454" t="s">
        <v>272</v>
      </c>
      <c r="I152" s="454">
        <v>0.0034</v>
      </c>
      <c r="J152" s="454" t="s">
        <v>198</v>
      </c>
      <c r="K152" s="454"/>
      <c r="L152" s="454"/>
      <c r="M152" s="454"/>
    </row>
    <row r="153" spans="1:13" ht="15">
      <c r="A153" s="455">
        <v>37521</v>
      </c>
      <c r="B153" s="454" t="s">
        <v>220</v>
      </c>
      <c r="C153" s="454" t="s">
        <v>272</v>
      </c>
      <c r="D153" s="454">
        <v>3.4</v>
      </c>
      <c r="E153" s="454" t="s">
        <v>428</v>
      </c>
      <c r="F153" s="454">
        <v>3.4</v>
      </c>
      <c r="G153" s="454"/>
      <c r="H153" s="454" t="s">
        <v>272</v>
      </c>
      <c r="I153" s="454">
        <v>0.0034</v>
      </c>
      <c r="J153" s="454" t="s">
        <v>198</v>
      </c>
      <c r="K153" s="454"/>
      <c r="L153" s="454"/>
      <c r="M153" s="454"/>
    </row>
    <row r="154" spans="1:13" ht="15">
      <c r="A154" s="455">
        <v>37591</v>
      </c>
      <c r="B154" s="454" t="s">
        <v>220</v>
      </c>
      <c r="C154" s="454" t="s">
        <v>272</v>
      </c>
      <c r="D154" s="454">
        <v>3.4</v>
      </c>
      <c r="E154" s="454" t="s">
        <v>428</v>
      </c>
      <c r="F154" s="454">
        <v>3.4</v>
      </c>
      <c r="G154" s="454"/>
      <c r="H154" s="454" t="s">
        <v>272</v>
      </c>
      <c r="I154" s="454">
        <v>0.0034</v>
      </c>
      <c r="J154" s="454" t="s">
        <v>198</v>
      </c>
      <c r="K154" s="454"/>
      <c r="L154" s="454"/>
      <c r="M154" s="454"/>
    </row>
    <row r="155" spans="1:13" ht="15">
      <c r="A155" s="455">
        <v>37671</v>
      </c>
      <c r="B155" s="454" t="s">
        <v>220</v>
      </c>
      <c r="C155" s="454" t="s">
        <v>272</v>
      </c>
      <c r="D155" s="454">
        <v>3.4</v>
      </c>
      <c r="E155" s="454" t="s">
        <v>428</v>
      </c>
      <c r="F155" s="454">
        <v>3.4</v>
      </c>
      <c r="G155" s="454"/>
      <c r="H155" s="454" t="s">
        <v>272</v>
      </c>
      <c r="I155" s="454">
        <v>0.0034</v>
      </c>
      <c r="J155" s="454" t="s">
        <v>198</v>
      </c>
      <c r="K155" s="454" t="s">
        <v>272</v>
      </c>
      <c r="L155" s="454">
        <v>0.0034</v>
      </c>
      <c r="M155" s="454" t="s">
        <v>198</v>
      </c>
    </row>
    <row r="156" spans="1:13" ht="15">
      <c r="A156" s="455">
        <v>36410</v>
      </c>
      <c r="B156" s="454" t="s">
        <v>438</v>
      </c>
      <c r="C156" s="454" t="s">
        <v>272</v>
      </c>
      <c r="D156" s="454">
        <v>1</v>
      </c>
      <c r="E156" s="454" t="s">
        <v>428</v>
      </c>
      <c r="F156" s="454">
        <v>1.59</v>
      </c>
      <c r="G156" s="454"/>
      <c r="H156" s="454" t="s">
        <v>272</v>
      </c>
      <c r="I156" s="454">
        <v>0.001</v>
      </c>
      <c r="J156" s="454" t="s">
        <v>198</v>
      </c>
      <c r="K156" s="454"/>
      <c r="L156" s="454"/>
      <c r="M156" s="454"/>
    </row>
    <row r="157" spans="1:13" ht="15">
      <c r="A157" s="455">
        <v>36782</v>
      </c>
      <c r="B157" s="454" t="s">
        <v>438</v>
      </c>
      <c r="C157" s="454" t="s">
        <v>272</v>
      </c>
      <c r="D157" s="454">
        <v>1.59</v>
      </c>
      <c r="E157" s="454" t="s">
        <v>428</v>
      </c>
      <c r="F157" s="454">
        <v>1.59</v>
      </c>
      <c r="G157" s="454"/>
      <c r="H157" s="454" t="s">
        <v>272</v>
      </c>
      <c r="I157" s="454">
        <v>0.00159</v>
      </c>
      <c r="J157" s="454" t="s">
        <v>198</v>
      </c>
      <c r="K157" s="454"/>
      <c r="L157" s="454"/>
      <c r="M157" s="454"/>
    </row>
    <row r="158" spans="1:13" ht="15">
      <c r="A158" s="455">
        <v>36937</v>
      </c>
      <c r="B158" s="454" t="s">
        <v>438</v>
      </c>
      <c r="C158" s="454" t="s">
        <v>272</v>
      </c>
      <c r="D158" s="454">
        <v>1.59</v>
      </c>
      <c r="E158" s="454" t="s">
        <v>428</v>
      </c>
      <c r="F158" s="454">
        <v>1.59</v>
      </c>
      <c r="G158" s="454"/>
      <c r="H158" s="454" t="s">
        <v>272</v>
      </c>
      <c r="I158" s="454">
        <v>0.00159</v>
      </c>
      <c r="J158" s="454" t="s">
        <v>198</v>
      </c>
      <c r="K158" s="454"/>
      <c r="L158" s="454"/>
      <c r="M158" s="454"/>
    </row>
    <row r="159" spans="1:13" ht="15">
      <c r="A159" s="455">
        <v>36955</v>
      </c>
      <c r="B159" s="454" t="s">
        <v>438</v>
      </c>
      <c r="C159" s="454" t="s">
        <v>272</v>
      </c>
      <c r="D159" s="454">
        <v>1.59</v>
      </c>
      <c r="E159" s="454" t="s">
        <v>428</v>
      </c>
      <c r="F159" s="454">
        <v>1.59</v>
      </c>
      <c r="G159" s="454"/>
      <c r="H159" s="454" t="s">
        <v>272</v>
      </c>
      <c r="I159" s="454">
        <v>0.00159</v>
      </c>
      <c r="J159" s="454" t="s">
        <v>198</v>
      </c>
      <c r="K159" s="454"/>
      <c r="L159" s="454"/>
      <c r="M159" s="454"/>
    </row>
    <row r="160" spans="1:13" ht="15">
      <c r="A160" s="455">
        <v>37119</v>
      </c>
      <c r="B160" s="454" t="s">
        <v>438</v>
      </c>
      <c r="C160" s="454" t="s">
        <v>272</v>
      </c>
      <c r="D160" s="454">
        <v>1.59</v>
      </c>
      <c r="E160" s="454" t="s">
        <v>428</v>
      </c>
      <c r="F160" s="454">
        <v>1.59</v>
      </c>
      <c r="G160" s="454"/>
      <c r="H160" s="454" t="s">
        <v>272</v>
      </c>
      <c r="I160" s="454">
        <v>0.00159</v>
      </c>
      <c r="J160" s="454" t="s">
        <v>198</v>
      </c>
      <c r="K160" s="454"/>
      <c r="L160" s="454"/>
      <c r="M160" s="454"/>
    </row>
    <row r="161" spans="1:13" ht="15">
      <c r="A161" s="455">
        <v>37196</v>
      </c>
      <c r="B161" s="454" t="s">
        <v>438</v>
      </c>
      <c r="C161" s="454" t="s">
        <v>272</v>
      </c>
      <c r="D161" s="454">
        <v>1.59</v>
      </c>
      <c r="E161" s="454" t="s">
        <v>428</v>
      </c>
      <c r="F161" s="454">
        <v>1.59</v>
      </c>
      <c r="G161" s="454"/>
      <c r="H161" s="454" t="s">
        <v>272</v>
      </c>
      <c r="I161" s="454">
        <v>0.00159</v>
      </c>
      <c r="J161" s="454" t="s">
        <v>198</v>
      </c>
      <c r="K161" s="454"/>
      <c r="L161" s="454"/>
      <c r="M161" s="454"/>
    </row>
    <row r="162" spans="1:13" ht="15">
      <c r="A162" s="455">
        <v>37243</v>
      </c>
      <c r="B162" s="454" t="s">
        <v>438</v>
      </c>
      <c r="C162" s="454" t="s">
        <v>272</v>
      </c>
      <c r="D162" s="454">
        <v>1.59</v>
      </c>
      <c r="E162" s="454" t="s">
        <v>428</v>
      </c>
      <c r="F162" s="454">
        <v>1.59</v>
      </c>
      <c r="G162" s="454"/>
      <c r="H162" s="454" t="s">
        <v>272</v>
      </c>
      <c r="I162" s="454">
        <v>0.00159</v>
      </c>
      <c r="J162" s="454" t="s">
        <v>198</v>
      </c>
      <c r="K162" s="454"/>
      <c r="L162" s="454"/>
      <c r="M162" s="454"/>
    </row>
    <row r="163" spans="1:13" ht="15">
      <c r="A163" s="455">
        <v>37332</v>
      </c>
      <c r="B163" s="454" t="s">
        <v>438</v>
      </c>
      <c r="C163" s="454" t="s">
        <v>272</v>
      </c>
      <c r="D163" s="454">
        <v>1.59</v>
      </c>
      <c r="E163" s="454" t="s">
        <v>428</v>
      </c>
      <c r="F163" s="454">
        <v>1.59</v>
      </c>
      <c r="G163" s="454"/>
      <c r="H163" s="454" t="s">
        <v>272</v>
      </c>
      <c r="I163" s="454">
        <v>0.00159</v>
      </c>
      <c r="J163" s="454" t="s">
        <v>198</v>
      </c>
      <c r="K163" s="454"/>
      <c r="L163" s="454"/>
      <c r="M163" s="454"/>
    </row>
    <row r="164" spans="1:13" ht="15">
      <c r="A164" s="455">
        <v>37521</v>
      </c>
      <c r="B164" s="454" t="s">
        <v>438</v>
      </c>
      <c r="C164" s="454" t="s">
        <v>272</v>
      </c>
      <c r="D164" s="454">
        <v>1.59</v>
      </c>
      <c r="E164" s="454" t="s">
        <v>428</v>
      </c>
      <c r="F164" s="454">
        <v>1.59</v>
      </c>
      <c r="G164" s="454"/>
      <c r="H164" s="454" t="s">
        <v>272</v>
      </c>
      <c r="I164" s="454">
        <v>0.00159</v>
      </c>
      <c r="J164" s="454" t="s">
        <v>198</v>
      </c>
      <c r="K164" s="454"/>
      <c r="L164" s="454"/>
      <c r="M164" s="454"/>
    </row>
    <row r="165" spans="1:13" ht="15">
      <c r="A165" s="455">
        <v>37591</v>
      </c>
      <c r="B165" s="454" t="s">
        <v>438</v>
      </c>
      <c r="C165" s="454" t="s">
        <v>272</v>
      </c>
      <c r="D165" s="454">
        <v>1.59</v>
      </c>
      <c r="E165" s="454" t="s">
        <v>428</v>
      </c>
      <c r="F165" s="454">
        <v>1.59</v>
      </c>
      <c r="G165" s="454"/>
      <c r="H165" s="454" t="s">
        <v>272</v>
      </c>
      <c r="I165" s="454">
        <v>0.00159</v>
      </c>
      <c r="J165" s="454" t="s">
        <v>198</v>
      </c>
      <c r="K165" s="454"/>
      <c r="L165" s="454"/>
      <c r="M165" s="454"/>
    </row>
    <row r="166" spans="1:13" ht="15">
      <c r="A166" s="455">
        <v>37671</v>
      </c>
      <c r="B166" s="454" t="s">
        <v>438</v>
      </c>
      <c r="C166" s="454" t="s">
        <v>272</v>
      </c>
      <c r="D166" s="454">
        <v>1.59</v>
      </c>
      <c r="E166" s="454" t="s">
        <v>428</v>
      </c>
      <c r="F166" s="454">
        <v>1.59</v>
      </c>
      <c r="G166" s="454"/>
      <c r="H166" s="454" t="s">
        <v>272</v>
      </c>
      <c r="I166" s="454">
        <v>0.00159</v>
      </c>
      <c r="J166" s="454" t="s">
        <v>198</v>
      </c>
      <c r="K166" s="454" t="s">
        <v>272</v>
      </c>
      <c r="L166" s="454">
        <v>0.001</v>
      </c>
      <c r="M166" s="454" t="s">
        <v>198</v>
      </c>
    </row>
    <row r="167" spans="1:13" ht="15">
      <c r="A167" s="455">
        <v>36410</v>
      </c>
      <c r="B167" s="454" t="s">
        <v>224</v>
      </c>
      <c r="C167" s="454" t="s">
        <v>272</v>
      </c>
      <c r="D167" s="454">
        <v>2.41</v>
      </c>
      <c r="E167" s="454" t="s">
        <v>428</v>
      </c>
      <c r="F167" s="454">
        <v>1.93</v>
      </c>
      <c r="G167" s="454"/>
      <c r="H167" s="454" t="s">
        <v>272</v>
      </c>
      <c r="I167" s="454">
        <v>0.0024100000000000002</v>
      </c>
      <c r="J167" s="454" t="s">
        <v>198</v>
      </c>
      <c r="K167" s="454"/>
      <c r="L167" s="454"/>
      <c r="M167" s="454"/>
    </row>
    <row r="168" spans="1:13" ht="15">
      <c r="A168" s="455">
        <v>36782</v>
      </c>
      <c r="B168" s="454" t="s">
        <v>224</v>
      </c>
      <c r="C168" s="454" t="s">
        <v>272</v>
      </c>
      <c r="D168" s="454">
        <v>1.93</v>
      </c>
      <c r="E168" s="454" t="s">
        <v>428</v>
      </c>
      <c r="F168" s="454">
        <v>1.93</v>
      </c>
      <c r="G168" s="454"/>
      <c r="H168" s="454" t="s">
        <v>272</v>
      </c>
      <c r="I168" s="454">
        <v>0.0019299999999999999</v>
      </c>
      <c r="J168" s="454" t="s">
        <v>198</v>
      </c>
      <c r="K168" s="454"/>
      <c r="L168" s="454"/>
      <c r="M168" s="454"/>
    </row>
    <row r="169" spans="1:13" ht="15">
      <c r="A169" s="455">
        <v>36937</v>
      </c>
      <c r="B169" s="454" t="s">
        <v>224</v>
      </c>
      <c r="C169" s="454" t="s">
        <v>272</v>
      </c>
      <c r="D169" s="454">
        <v>1.93</v>
      </c>
      <c r="E169" s="454" t="s">
        <v>428</v>
      </c>
      <c r="F169" s="454">
        <v>1.93</v>
      </c>
      <c r="G169" s="454"/>
      <c r="H169" s="454" t="s">
        <v>272</v>
      </c>
      <c r="I169" s="454">
        <v>0.0019299999999999999</v>
      </c>
      <c r="J169" s="454" t="s">
        <v>198</v>
      </c>
      <c r="K169" s="454"/>
      <c r="L169" s="454"/>
      <c r="M169" s="454"/>
    </row>
    <row r="170" spans="1:13" ht="15">
      <c r="A170" s="455">
        <v>36955</v>
      </c>
      <c r="B170" s="454" t="s">
        <v>224</v>
      </c>
      <c r="C170" s="454" t="s">
        <v>272</v>
      </c>
      <c r="D170" s="454">
        <v>1.93</v>
      </c>
      <c r="E170" s="454" t="s">
        <v>428</v>
      </c>
      <c r="F170" s="454">
        <v>1.93</v>
      </c>
      <c r="G170" s="454"/>
      <c r="H170" s="454" t="s">
        <v>272</v>
      </c>
      <c r="I170" s="454">
        <v>0.0019299999999999999</v>
      </c>
      <c r="J170" s="454" t="s">
        <v>198</v>
      </c>
      <c r="K170" s="454"/>
      <c r="L170" s="454"/>
      <c r="M170" s="454"/>
    </row>
    <row r="171" spans="1:13" ht="15">
      <c r="A171" s="455">
        <v>37119</v>
      </c>
      <c r="B171" s="454" t="s">
        <v>224</v>
      </c>
      <c r="C171" s="454" t="s">
        <v>272</v>
      </c>
      <c r="D171" s="454">
        <v>1.93</v>
      </c>
      <c r="E171" s="454" t="s">
        <v>428</v>
      </c>
      <c r="F171" s="454">
        <v>1.93</v>
      </c>
      <c r="G171" s="454"/>
      <c r="H171" s="454" t="s">
        <v>272</v>
      </c>
      <c r="I171" s="454">
        <v>0.0019299999999999999</v>
      </c>
      <c r="J171" s="454" t="s">
        <v>198</v>
      </c>
      <c r="K171" s="454"/>
      <c r="L171" s="454"/>
      <c r="M171" s="454"/>
    </row>
    <row r="172" spans="1:13" ht="15">
      <c r="A172" s="455">
        <v>37196</v>
      </c>
      <c r="B172" s="454" t="s">
        <v>224</v>
      </c>
      <c r="C172" s="454" t="s">
        <v>272</v>
      </c>
      <c r="D172" s="454">
        <v>1.93</v>
      </c>
      <c r="E172" s="454" t="s">
        <v>428</v>
      </c>
      <c r="F172" s="454">
        <v>1.93</v>
      </c>
      <c r="G172" s="454"/>
      <c r="H172" s="454" t="s">
        <v>272</v>
      </c>
      <c r="I172" s="454">
        <v>0.0019299999999999999</v>
      </c>
      <c r="J172" s="454" t="s">
        <v>198</v>
      </c>
      <c r="K172" s="454"/>
      <c r="L172" s="454"/>
      <c r="M172" s="454"/>
    </row>
    <row r="173" spans="1:13" ht="15">
      <c r="A173" s="455">
        <v>37243</v>
      </c>
      <c r="B173" s="454" t="s">
        <v>224</v>
      </c>
      <c r="C173" s="454" t="s">
        <v>272</v>
      </c>
      <c r="D173" s="454">
        <v>1.93</v>
      </c>
      <c r="E173" s="454" t="s">
        <v>428</v>
      </c>
      <c r="F173" s="454">
        <v>1.93</v>
      </c>
      <c r="G173" s="454"/>
      <c r="H173" s="454" t="s">
        <v>272</v>
      </c>
      <c r="I173" s="454">
        <v>0.0019299999999999999</v>
      </c>
      <c r="J173" s="454" t="s">
        <v>198</v>
      </c>
      <c r="K173" s="454"/>
      <c r="L173" s="454"/>
      <c r="M173" s="454"/>
    </row>
    <row r="174" spans="1:13" ht="15">
      <c r="A174" s="455">
        <v>37332</v>
      </c>
      <c r="B174" s="454" t="s">
        <v>224</v>
      </c>
      <c r="C174" s="454" t="s">
        <v>272</v>
      </c>
      <c r="D174" s="454">
        <v>1.93</v>
      </c>
      <c r="E174" s="454" t="s">
        <v>428</v>
      </c>
      <c r="F174" s="454">
        <v>1.93</v>
      </c>
      <c r="G174" s="454"/>
      <c r="H174" s="454" t="s">
        <v>272</v>
      </c>
      <c r="I174" s="454">
        <v>0.0019299999999999999</v>
      </c>
      <c r="J174" s="454" t="s">
        <v>198</v>
      </c>
      <c r="K174" s="454"/>
      <c r="L174" s="454"/>
      <c r="M174" s="454"/>
    </row>
    <row r="175" spans="1:13" ht="15">
      <c r="A175" s="455">
        <v>37521</v>
      </c>
      <c r="B175" s="454" t="s">
        <v>224</v>
      </c>
      <c r="C175" s="454" t="s">
        <v>272</v>
      </c>
      <c r="D175" s="454">
        <v>1.93</v>
      </c>
      <c r="E175" s="454" t="s">
        <v>428</v>
      </c>
      <c r="F175" s="454">
        <v>1.93</v>
      </c>
      <c r="G175" s="454"/>
      <c r="H175" s="454" t="s">
        <v>272</v>
      </c>
      <c r="I175" s="454">
        <v>0.0019299999999999999</v>
      </c>
      <c r="J175" s="454" t="s">
        <v>198</v>
      </c>
      <c r="K175" s="454"/>
      <c r="L175" s="454"/>
      <c r="M175" s="454"/>
    </row>
    <row r="176" spans="1:13" ht="15">
      <c r="A176" s="455">
        <v>37591</v>
      </c>
      <c r="B176" s="454" t="s">
        <v>224</v>
      </c>
      <c r="C176" s="454" t="s">
        <v>272</v>
      </c>
      <c r="D176" s="454">
        <v>1.93</v>
      </c>
      <c r="E176" s="454" t="s">
        <v>428</v>
      </c>
      <c r="F176" s="454">
        <v>1.93</v>
      </c>
      <c r="G176" s="454"/>
      <c r="H176" s="454" t="s">
        <v>272</v>
      </c>
      <c r="I176" s="454">
        <v>0.0019299999999999999</v>
      </c>
      <c r="J176" s="454" t="s">
        <v>198</v>
      </c>
      <c r="K176" s="454"/>
      <c r="L176" s="454"/>
      <c r="M176" s="454"/>
    </row>
    <row r="177" spans="1:13" ht="15">
      <c r="A177" s="455">
        <v>37671</v>
      </c>
      <c r="B177" s="454" t="s">
        <v>224</v>
      </c>
      <c r="C177" s="454" t="s">
        <v>272</v>
      </c>
      <c r="D177" s="454">
        <v>1.93</v>
      </c>
      <c r="E177" s="454" t="s">
        <v>428</v>
      </c>
      <c r="F177" s="454">
        <v>1.93</v>
      </c>
      <c r="G177" s="454"/>
      <c r="H177" s="454" t="s">
        <v>272</v>
      </c>
      <c r="I177" s="454">
        <v>0.0019299999999999999</v>
      </c>
      <c r="J177" s="454" t="s">
        <v>198</v>
      </c>
      <c r="K177" s="454" t="s">
        <v>272</v>
      </c>
      <c r="L177" s="454">
        <v>0.0019299999999999999</v>
      </c>
      <c r="M177" s="454" t="s">
        <v>198</v>
      </c>
    </row>
    <row r="178" spans="1:13" ht="15">
      <c r="A178" s="455">
        <v>36410</v>
      </c>
      <c r="B178" s="454" t="s">
        <v>380</v>
      </c>
      <c r="C178" s="454" t="s">
        <v>272</v>
      </c>
      <c r="D178" s="454">
        <v>2.63</v>
      </c>
      <c r="E178" s="454" t="s">
        <v>428</v>
      </c>
      <c r="F178" s="454">
        <v>2.84</v>
      </c>
      <c r="G178" s="454"/>
      <c r="H178" s="454" t="s">
        <v>272</v>
      </c>
      <c r="I178" s="454">
        <v>0.00263</v>
      </c>
      <c r="J178" s="454" t="s">
        <v>198</v>
      </c>
      <c r="K178" s="454"/>
      <c r="L178" s="454"/>
      <c r="M178" s="454"/>
    </row>
    <row r="179" spans="1:13" ht="15">
      <c r="A179" s="455">
        <v>36782</v>
      </c>
      <c r="B179" s="454" t="s">
        <v>380</v>
      </c>
      <c r="C179" s="454" t="s">
        <v>272</v>
      </c>
      <c r="D179" s="454">
        <v>2.84</v>
      </c>
      <c r="E179" s="454" t="s">
        <v>428</v>
      </c>
      <c r="F179" s="454">
        <v>2.84</v>
      </c>
      <c r="G179" s="454"/>
      <c r="H179" s="454" t="s">
        <v>272</v>
      </c>
      <c r="I179" s="454">
        <v>0.0028399999999999996</v>
      </c>
      <c r="J179" s="454" t="s">
        <v>198</v>
      </c>
      <c r="K179" s="454"/>
      <c r="L179" s="454"/>
      <c r="M179" s="454"/>
    </row>
    <row r="180" spans="1:13" ht="15">
      <c r="A180" s="455">
        <v>36937</v>
      </c>
      <c r="B180" s="454" t="s">
        <v>380</v>
      </c>
      <c r="C180" s="454" t="s">
        <v>272</v>
      </c>
      <c r="D180" s="454">
        <v>2.84</v>
      </c>
      <c r="E180" s="454" t="s">
        <v>428</v>
      </c>
      <c r="F180" s="454">
        <v>2.84</v>
      </c>
      <c r="G180" s="454"/>
      <c r="H180" s="454" t="s">
        <v>272</v>
      </c>
      <c r="I180" s="454">
        <v>0.0028399999999999996</v>
      </c>
      <c r="J180" s="454" t="s">
        <v>198</v>
      </c>
      <c r="K180" s="454"/>
      <c r="L180" s="454"/>
      <c r="M180" s="454"/>
    </row>
    <row r="181" spans="1:13" ht="15">
      <c r="A181" s="455">
        <v>36955</v>
      </c>
      <c r="B181" s="454" t="s">
        <v>380</v>
      </c>
      <c r="C181" s="454" t="s">
        <v>272</v>
      </c>
      <c r="D181" s="454">
        <v>2.84</v>
      </c>
      <c r="E181" s="454" t="s">
        <v>428</v>
      </c>
      <c r="F181" s="454">
        <v>2.84</v>
      </c>
      <c r="G181" s="454"/>
      <c r="H181" s="454" t="s">
        <v>272</v>
      </c>
      <c r="I181" s="454">
        <v>0.0028399999999999996</v>
      </c>
      <c r="J181" s="454" t="s">
        <v>198</v>
      </c>
      <c r="K181" s="454"/>
      <c r="L181" s="454"/>
      <c r="M181" s="454"/>
    </row>
    <row r="182" spans="1:13" ht="15">
      <c r="A182" s="455">
        <v>37119</v>
      </c>
      <c r="B182" s="454" t="s">
        <v>380</v>
      </c>
      <c r="C182" s="454" t="s">
        <v>272</v>
      </c>
      <c r="D182" s="454">
        <v>2.84</v>
      </c>
      <c r="E182" s="454" t="s">
        <v>428</v>
      </c>
      <c r="F182" s="454">
        <v>2.84</v>
      </c>
      <c r="G182" s="454"/>
      <c r="H182" s="454" t="s">
        <v>272</v>
      </c>
      <c r="I182" s="454">
        <v>0.0028399999999999996</v>
      </c>
      <c r="J182" s="454" t="s">
        <v>198</v>
      </c>
      <c r="K182" s="454"/>
      <c r="L182" s="454"/>
      <c r="M182" s="454"/>
    </row>
    <row r="183" spans="1:13" ht="15">
      <c r="A183" s="455">
        <v>37196</v>
      </c>
      <c r="B183" s="454" t="s">
        <v>380</v>
      </c>
      <c r="C183" s="454" t="s">
        <v>272</v>
      </c>
      <c r="D183" s="454">
        <v>2.84</v>
      </c>
      <c r="E183" s="454" t="s">
        <v>428</v>
      </c>
      <c r="F183" s="454">
        <v>2.84</v>
      </c>
      <c r="G183" s="454"/>
      <c r="H183" s="454" t="s">
        <v>272</v>
      </c>
      <c r="I183" s="454">
        <v>0.0028399999999999996</v>
      </c>
      <c r="J183" s="454" t="s">
        <v>198</v>
      </c>
      <c r="K183" s="454"/>
      <c r="L183" s="454"/>
      <c r="M183" s="454"/>
    </row>
    <row r="184" spans="1:13" ht="15">
      <c r="A184" s="455">
        <v>37243</v>
      </c>
      <c r="B184" s="454" t="s">
        <v>380</v>
      </c>
      <c r="C184" s="454" t="s">
        <v>272</v>
      </c>
      <c r="D184" s="454">
        <v>2.84</v>
      </c>
      <c r="E184" s="454" t="s">
        <v>428</v>
      </c>
      <c r="F184" s="454">
        <v>2.84</v>
      </c>
      <c r="G184" s="454"/>
      <c r="H184" s="454" t="s">
        <v>272</v>
      </c>
      <c r="I184" s="454">
        <v>0.0028399999999999996</v>
      </c>
      <c r="J184" s="454" t="s">
        <v>198</v>
      </c>
      <c r="K184" s="454"/>
      <c r="L184" s="454"/>
      <c r="M184" s="454"/>
    </row>
    <row r="185" spans="1:13" ht="15">
      <c r="A185" s="455">
        <v>37332</v>
      </c>
      <c r="B185" s="454" t="s">
        <v>380</v>
      </c>
      <c r="C185" s="454" t="s">
        <v>272</v>
      </c>
      <c r="D185" s="454">
        <v>2.84</v>
      </c>
      <c r="E185" s="454" t="s">
        <v>428</v>
      </c>
      <c r="F185" s="454">
        <v>2.84</v>
      </c>
      <c r="G185" s="454"/>
      <c r="H185" s="454" t="s">
        <v>272</v>
      </c>
      <c r="I185" s="454">
        <v>0.0028399999999999996</v>
      </c>
      <c r="J185" s="454" t="s">
        <v>198</v>
      </c>
      <c r="K185" s="454"/>
      <c r="L185" s="454"/>
      <c r="M185" s="454"/>
    </row>
    <row r="186" spans="1:13" ht="15">
      <c r="A186" s="455">
        <v>37521</v>
      </c>
      <c r="B186" s="454" t="s">
        <v>380</v>
      </c>
      <c r="C186" s="454" t="s">
        <v>272</v>
      </c>
      <c r="D186" s="454">
        <v>2.84</v>
      </c>
      <c r="E186" s="454" t="s">
        <v>428</v>
      </c>
      <c r="F186" s="454">
        <v>2.84</v>
      </c>
      <c r="G186" s="454"/>
      <c r="H186" s="454" t="s">
        <v>272</v>
      </c>
      <c r="I186" s="454">
        <v>0.0028399999999999996</v>
      </c>
      <c r="J186" s="454" t="s">
        <v>198</v>
      </c>
      <c r="K186" s="454"/>
      <c r="L186" s="454"/>
      <c r="M186" s="454"/>
    </row>
    <row r="187" spans="1:13" ht="15">
      <c r="A187" s="455">
        <v>37591</v>
      </c>
      <c r="B187" s="454" t="s">
        <v>380</v>
      </c>
      <c r="C187" s="454" t="s">
        <v>272</v>
      </c>
      <c r="D187" s="454">
        <v>2.84</v>
      </c>
      <c r="E187" s="454" t="s">
        <v>428</v>
      </c>
      <c r="F187" s="454">
        <v>2.84</v>
      </c>
      <c r="G187" s="454"/>
      <c r="H187" s="454" t="s">
        <v>272</v>
      </c>
      <c r="I187" s="454">
        <v>0.0028399999999999996</v>
      </c>
      <c r="J187" s="454" t="s">
        <v>198</v>
      </c>
      <c r="K187" s="454"/>
      <c r="L187" s="454"/>
      <c r="M187" s="454"/>
    </row>
    <row r="188" spans="1:13" ht="15">
      <c r="A188" s="455">
        <v>37671</v>
      </c>
      <c r="B188" s="454" t="s">
        <v>380</v>
      </c>
      <c r="C188" s="454" t="s">
        <v>272</v>
      </c>
      <c r="D188" s="454">
        <v>2.84</v>
      </c>
      <c r="E188" s="454" t="s">
        <v>428</v>
      </c>
      <c r="F188" s="454">
        <v>2.84</v>
      </c>
      <c r="G188" s="454"/>
      <c r="H188" s="454" t="s">
        <v>272</v>
      </c>
      <c r="I188" s="454">
        <v>0.0028399999999999996</v>
      </c>
      <c r="J188" s="454" t="s">
        <v>198</v>
      </c>
      <c r="K188" s="454" t="s">
        <v>272</v>
      </c>
      <c r="L188" s="454">
        <v>0.00263</v>
      </c>
      <c r="M188" s="454" t="s">
        <v>198</v>
      </c>
    </row>
    <row r="189" spans="1:13" ht="15">
      <c r="A189" s="455">
        <v>36410</v>
      </c>
      <c r="B189" s="454" t="s">
        <v>381</v>
      </c>
      <c r="C189" s="454" t="s">
        <v>272</v>
      </c>
      <c r="D189" s="454">
        <v>1.83</v>
      </c>
      <c r="E189" s="454" t="s">
        <v>428</v>
      </c>
      <c r="F189" s="454">
        <v>2.27</v>
      </c>
      <c r="G189" s="454"/>
      <c r="H189" s="454" t="s">
        <v>272</v>
      </c>
      <c r="I189" s="454">
        <v>0.00183</v>
      </c>
      <c r="J189" s="454" t="s">
        <v>198</v>
      </c>
      <c r="K189" s="454"/>
      <c r="L189" s="454"/>
      <c r="M189" s="454"/>
    </row>
    <row r="190" spans="1:13" ht="15">
      <c r="A190" s="455">
        <v>36782</v>
      </c>
      <c r="B190" s="454" t="s">
        <v>381</v>
      </c>
      <c r="C190" s="454" t="s">
        <v>272</v>
      </c>
      <c r="D190" s="454">
        <v>2.27</v>
      </c>
      <c r="E190" s="454" t="s">
        <v>428</v>
      </c>
      <c r="F190" s="454">
        <v>2.27</v>
      </c>
      <c r="G190" s="454"/>
      <c r="H190" s="454" t="s">
        <v>272</v>
      </c>
      <c r="I190" s="454">
        <v>0.00227</v>
      </c>
      <c r="J190" s="454" t="s">
        <v>198</v>
      </c>
      <c r="K190" s="454"/>
      <c r="L190" s="454"/>
      <c r="M190" s="454"/>
    </row>
    <row r="191" spans="1:13" ht="15">
      <c r="A191" s="455">
        <v>36937</v>
      </c>
      <c r="B191" s="454" t="s">
        <v>381</v>
      </c>
      <c r="C191" s="454" t="s">
        <v>272</v>
      </c>
      <c r="D191" s="454">
        <v>2.27</v>
      </c>
      <c r="E191" s="454" t="s">
        <v>428</v>
      </c>
      <c r="F191" s="454">
        <v>2.27</v>
      </c>
      <c r="G191" s="454"/>
      <c r="H191" s="454" t="s">
        <v>272</v>
      </c>
      <c r="I191" s="454">
        <v>0.00227</v>
      </c>
      <c r="J191" s="454" t="s">
        <v>198</v>
      </c>
      <c r="K191" s="454"/>
      <c r="L191" s="454"/>
      <c r="M191" s="454"/>
    </row>
    <row r="192" spans="1:13" ht="15">
      <c r="A192" s="455">
        <v>36955</v>
      </c>
      <c r="B192" s="454" t="s">
        <v>381</v>
      </c>
      <c r="C192" s="454" t="s">
        <v>272</v>
      </c>
      <c r="D192" s="454">
        <v>2.27</v>
      </c>
      <c r="E192" s="454" t="s">
        <v>428</v>
      </c>
      <c r="F192" s="454">
        <v>2.27</v>
      </c>
      <c r="G192" s="454"/>
      <c r="H192" s="454" t="s">
        <v>272</v>
      </c>
      <c r="I192" s="454">
        <v>0.00227</v>
      </c>
      <c r="J192" s="454" t="s">
        <v>198</v>
      </c>
      <c r="K192" s="454"/>
      <c r="L192" s="454"/>
      <c r="M192" s="454"/>
    </row>
    <row r="193" spans="1:13" ht="15">
      <c r="A193" s="455">
        <v>37119</v>
      </c>
      <c r="B193" s="454" t="s">
        <v>381</v>
      </c>
      <c r="C193" s="454" t="s">
        <v>272</v>
      </c>
      <c r="D193" s="454">
        <v>2.27</v>
      </c>
      <c r="E193" s="454" t="s">
        <v>428</v>
      </c>
      <c r="F193" s="454">
        <v>2.27</v>
      </c>
      <c r="G193" s="454"/>
      <c r="H193" s="454" t="s">
        <v>272</v>
      </c>
      <c r="I193" s="454">
        <v>0.00227</v>
      </c>
      <c r="J193" s="454" t="s">
        <v>198</v>
      </c>
      <c r="K193" s="454"/>
      <c r="L193" s="454"/>
      <c r="M193" s="454"/>
    </row>
    <row r="194" spans="1:13" ht="15">
      <c r="A194" s="455">
        <v>37196</v>
      </c>
      <c r="B194" s="454" t="s">
        <v>381</v>
      </c>
      <c r="C194" s="454" t="s">
        <v>272</v>
      </c>
      <c r="D194" s="454">
        <v>2.27</v>
      </c>
      <c r="E194" s="454" t="s">
        <v>428</v>
      </c>
      <c r="F194" s="454">
        <v>2.27</v>
      </c>
      <c r="G194" s="454"/>
      <c r="H194" s="454" t="s">
        <v>272</v>
      </c>
      <c r="I194" s="454">
        <v>0.00227</v>
      </c>
      <c r="J194" s="454" t="s">
        <v>198</v>
      </c>
      <c r="K194" s="454"/>
      <c r="L194" s="454"/>
      <c r="M194" s="454"/>
    </row>
    <row r="195" spans="1:13" ht="15">
      <c r="A195" s="455">
        <v>37243</v>
      </c>
      <c r="B195" s="454" t="s">
        <v>381</v>
      </c>
      <c r="C195" s="454" t="s">
        <v>272</v>
      </c>
      <c r="D195" s="454">
        <v>2.27</v>
      </c>
      <c r="E195" s="454" t="s">
        <v>428</v>
      </c>
      <c r="F195" s="454">
        <v>2.27</v>
      </c>
      <c r="G195" s="454"/>
      <c r="H195" s="454" t="s">
        <v>272</v>
      </c>
      <c r="I195" s="454">
        <v>0.00227</v>
      </c>
      <c r="J195" s="454" t="s">
        <v>198</v>
      </c>
      <c r="K195" s="454"/>
      <c r="L195" s="454"/>
      <c r="M195" s="454"/>
    </row>
    <row r="196" spans="1:13" ht="15">
      <c r="A196" s="455">
        <v>37332</v>
      </c>
      <c r="B196" s="454" t="s">
        <v>381</v>
      </c>
      <c r="C196" s="454" t="s">
        <v>272</v>
      </c>
      <c r="D196" s="454">
        <v>2.27</v>
      </c>
      <c r="E196" s="454" t="s">
        <v>428</v>
      </c>
      <c r="F196" s="454">
        <v>2.27</v>
      </c>
      <c r="G196" s="454"/>
      <c r="H196" s="454" t="s">
        <v>272</v>
      </c>
      <c r="I196" s="454">
        <v>0.00227</v>
      </c>
      <c r="J196" s="454" t="s">
        <v>198</v>
      </c>
      <c r="K196" s="454"/>
      <c r="L196" s="454"/>
      <c r="M196" s="454"/>
    </row>
    <row r="197" spans="1:13" ht="15">
      <c r="A197" s="455">
        <v>37521</v>
      </c>
      <c r="B197" s="454" t="s">
        <v>381</v>
      </c>
      <c r="C197" s="454" t="s">
        <v>272</v>
      </c>
      <c r="D197" s="454">
        <v>2.27</v>
      </c>
      <c r="E197" s="454" t="s">
        <v>428</v>
      </c>
      <c r="F197" s="454">
        <v>2.27</v>
      </c>
      <c r="G197" s="454"/>
      <c r="H197" s="454" t="s">
        <v>272</v>
      </c>
      <c r="I197" s="454">
        <v>0.00227</v>
      </c>
      <c r="J197" s="454" t="s">
        <v>198</v>
      </c>
      <c r="K197" s="454"/>
      <c r="L197" s="454"/>
      <c r="M197" s="454"/>
    </row>
    <row r="198" spans="1:13" ht="15">
      <c r="A198" s="455">
        <v>37591</v>
      </c>
      <c r="B198" s="454" t="s">
        <v>381</v>
      </c>
      <c r="C198" s="454" t="s">
        <v>272</v>
      </c>
      <c r="D198" s="454">
        <v>2.27</v>
      </c>
      <c r="E198" s="454" t="s">
        <v>428</v>
      </c>
      <c r="F198" s="454">
        <v>2.27</v>
      </c>
      <c r="G198" s="454"/>
      <c r="H198" s="454" t="s">
        <v>272</v>
      </c>
      <c r="I198" s="454">
        <v>0.00227</v>
      </c>
      <c r="J198" s="454" t="s">
        <v>198</v>
      </c>
      <c r="K198" s="454"/>
      <c r="L198" s="454"/>
      <c r="M198" s="454"/>
    </row>
    <row r="199" spans="1:13" ht="15">
      <c r="A199" s="455">
        <v>37671</v>
      </c>
      <c r="B199" s="454" t="s">
        <v>381</v>
      </c>
      <c r="C199" s="454" t="s">
        <v>272</v>
      </c>
      <c r="D199" s="454">
        <v>2.27</v>
      </c>
      <c r="E199" s="454" t="s">
        <v>428</v>
      </c>
      <c r="F199" s="454">
        <v>2.27</v>
      </c>
      <c r="G199" s="454"/>
      <c r="H199" s="454" t="s">
        <v>272</v>
      </c>
      <c r="I199" s="454">
        <v>0.00227</v>
      </c>
      <c r="J199" s="454" t="s">
        <v>198</v>
      </c>
      <c r="K199" s="454" t="s">
        <v>272</v>
      </c>
      <c r="L199" s="454">
        <v>0.00183</v>
      </c>
      <c r="M199" s="454" t="s">
        <v>198</v>
      </c>
    </row>
    <row r="200" spans="1:13" ht="15">
      <c r="A200" s="455">
        <v>36410</v>
      </c>
      <c r="B200" s="454" t="s">
        <v>439</v>
      </c>
      <c r="C200" s="454" t="s">
        <v>272</v>
      </c>
      <c r="D200" s="454">
        <v>2.17</v>
      </c>
      <c r="E200" s="454" t="s">
        <v>428</v>
      </c>
      <c r="F200" s="454">
        <v>5.85</v>
      </c>
      <c r="G200" s="454"/>
      <c r="H200" s="454" t="s">
        <v>272</v>
      </c>
      <c r="I200" s="454">
        <v>0.00217</v>
      </c>
      <c r="J200" s="454" t="s">
        <v>198</v>
      </c>
      <c r="K200" s="454"/>
      <c r="L200" s="454"/>
      <c r="M200" s="454"/>
    </row>
    <row r="201" spans="1:13" ht="15">
      <c r="A201" s="455">
        <v>36782</v>
      </c>
      <c r="B201" s="454" t="s">
        <v>439</v>
      </c>
      <c r="C201" s="454" t="s">
        <v>272</v>
      </c>
      <c r="D201" s="454">
        <v>5.85</v>
      </c>
      <c r="E201" s="454" t="s">
        <v>428</v>
      </c>
      <c r="F201" s="454">
        <v>5.85</v>
      </c>
      <c r="G201" s="454"/>
      <c r="H201" s="454" t="s">
        <v>272</v>
      </c>
      <c r="I201" s="454">
        <v>0.005849999999999999</v>
      </c>
      <c r="J201" s="454" t="s">
        <v>198</v>
      </c>
      <c r="K201" s="454"/>
      <c r="L201" s="454"/>
      <c r="M201" s="454"/>
    </row>
    <row r="202" spans="1:13" ht="15">
      <c r="A202" s="455">
        <v>36937</v>
      </c>
      <c r="B202" s="454" t="s">
        <v>439</v>
      </c>
      <c r="C202" s="454" t="s">
        <v>272</v>
      </c>
      <c r="D202" s="454">
        <v>5.85</v>
      </c>
      <c r="E202" s="454" t="s">
        <v>428</v>
      </c>
      <c r="F202" s="454">
        <v>5.85</v>
      </c>
      <c r="G202" s="454"/>
      <c r="H202" s="454" t="s">
        <v>272</v>
      </c>
      <c r="I202" s="454">
        <v>0.005849999999999999</v>
      </c>
      <c r="J202" s="454" t="s">
        <v>198</v>
      </c>
      <c r="K202" s="454"/>
      <c r="L202" s="454"/>
      <c r="M202" s="454"/>
    </row>
    <row r="203" spans="1:13" ht="15">
      <c r="A203" s="455">
        <v>36955</v>
      </c>
      <c r="B203" s="454" t="s">
        <v>439</v>
      </c>
      <c r="C203" s="454" t="s">
        <v>272</v>
      </c>
      <c r="D203" s="454">
        <v>5.85</v>
      </c>
      <c r="E203" s="454" t="s">
        <v>428</v>
      </c>
      <c r="F203" s="454">
        <v>5.85</v>
      </c>
      <c r="G203" s="454"/>
      <c r="H203" s="454" t="s">
        <v>272</v>
      </c>
      <c r="I203" s="454">
        <v>0.005849999999999999</v>
      </c>
      <c r="J203" s="454" t="s">
        <v>198</v>
      </c>
      <c r="K203" s="454"/>
      <c r="L203" s="454"/>
      <c r="M203" s="454"/>
    </row>
    <row r="204" spans="1:13" ht="15">
      <c r="A204" s="455">
        <v>37119</v>
      </c>
      <c r="B204" s="454" t="s">
        <v>439</v>
      </c>
      <c r="C204" s="454" t="s">
        <v>272</v>
      </c>
      <c r="D204" s="454">
        <v>5.85</v>
      </c>
      <c r="E204" s="454" t="s">
        <v>428</v>
      </c>
      <c r="F204" s="454">
        <v>5.85</v>
      </c>
      <c r="G204" s="454"/>
      <c r="H204" s="454" t="s">
        <v>272</v>
      </c>
      <c r="I204" s="454">
        <v>0.005849999999999999</v>
      </c>
      <c r="J204" s="454" t="s">
        <v>198</v>
      </c>
      <c r="K204" s="454"/>
      <c r="L204" s="454"/>
      <c r="M204" s="454"/>
    </row>
    <row r="205" spans="1:13" ht="15">
      <c r="A205" s="455">
        <v>37196</v>
      </c>
      <c r="B205" s="454" t="s">
        <v>439</v>
      </c>
      <c r="C205" s="454" t="s">
        <v>272</v>
      </c>
      <c r="D205" s="454">
        <v>5.85</v>
      </c>
      <c r="E205" s="454" t="s">
        <v>428</v>
      </c>
      <c r="F205" s="454">
        <v>5.85</v>
      </c>
      <c r="G205" s="454"/>
      <c r="H205" s="454" t="s">
        <v>272</v>
      </c>
      <c r="I205" s="454">
        <v>0.005849999999999999</v>
      </c>
      <c r="J205" s="454" t="s">
        <v>198</v>
      </c>
      <c r="K205" s="454"/>
      <c r="L205" s="454"/>
      <c r="M205" s="454"/>
    </row>
    <row r="206" spans="1:13" ht="15">
      <c r="A206" s="455">
        <v>37243</v>
      </c>
      <c r="B206" s="454" t="s">
        <v>439</v>
      </c>
      <c r="C206" s="454" t="s">
        <v>272</v>
      </c>
      <c r="D206" s="454">
        <v>5.85</v>
      </c>
      <c r="E206" s="454" t="s">
        <v>428</v>
      </c>
      <c r="F206" s="454">
        <v>5.85</v>
      </c>
      <c r="G206" s="454"/>
      <c r="H206" s="454" t="s">
        <v>272</v>
      </c>
      <c r="I206" s="454">
        <v>0.005849999999999999</v>
      </c>
      <c r="J206" s="454" t="s">
        <v>198</v>
      </c>
      <c r="K206" s="454"/>
      <c r="L206" s="454"/>
      <c r="M206" s="454"/>
    </row>
    <row r="207" spans="1:13" ht="15">
      <c r="A207" s="455">
        <v>37332</v>
      </c>
      <c r="B207" s="454" t="s">
        <v>439</v>
      </c>
      <c r="C207" s="454" t="s">
        <v>272</v>
      </c>
      <c r="D207" s="454">
        <v>5.85</v>
      </c>
      <c r="E207" s="454" t="s">
        <v>428</v>
      </c>
      <c r="F207" s="454">
        <v>5.85</v>
      </c>
      <c r="G207" s="454"/>
      <c r="H207" s="454" t="s">
        <v>272</v>
      </c>
      <c r="I207" s="454">
        <v>0.005849999999999999</v>
      </c>
      <c r="J207" s="454" t="s">
        <v>198</v>
      </c>
      <c r="K207" s="454"/>
      <c r="L207" s="454"/>
      <c r="M207" s="454"/>
    </row>
    <row r="208" spans="1:13" ht="15">
      <c r="A208" s="455">
        <v>37521</v>
      </c>
      <c r="B208" s="454" t="s">
        <v>439</v>
      </c>
      <c r="C208" s="454" t="s">
        <v>272</v>
      </c>
      <c r="D208" s="454">
        <v>5.85</v>
      </c>
      <c r="E208" s="454" t="s">
        <v>428</v>
      </c>
      <c r="F208" s="454">
        <v>5.85</v>
      </c>
      <c r="G208" s="454"/>
      <c r="H208" s="454" t="s">
        <v>272</v>
      </c>
      <c r="I208" s="454">
        <v>0.005849999999999999</v>
      </c>
      <c r="J208" s="454" t="s">
        <v>198</v>
      </c>
      <c r="K208" s="454"/>
      <c r="L208" s="454"/>
      <c r="M208" s="454"/>
    </row>
    <row r="209" spans="1:13" ht="15">
      <c r="A209" s="455">
        <v>37591</v>
      </c>
      <c r="B209" s="454" t="s">
        <v>439</v>
      </c>
      <c r="C209" s="454" t="s">
        <v>272</v>
      </c>
      <c r="D209" s="454">
        <v>5.85</v>
      </c>
      <c r="E209" s="454" t="s">
        <v>428</v>
      </c>
      <c r="F209" s="454">
        <v>5.85</v>
      </c>
      <c r="G209" s="454"/>
      <c r="H209" s="454" t="s">
        <v>272</v>
      </c>
      <c r="I209" s="454">
        <v>0.005849999999999999</v>
      </c>
      <c r="J209" s="454" t="s">
        <v>198</v>
      </c>
      <c r="K209" s="454"/>
      <c r="L209" s="454"/>
      <c r="M209" s="454"/>
    </row>
    <row r="210" spans="1:13" ht="15">
      <c r="A210" s="455">
        <v>37671</v>
      </c>
      <c r="B210" s="454" t="s">
        <v>439</v>
      </c>
      <c r="C210" s="454" t="s">
        <v>272</v>
      </c>
      <c r="D210" s="454">
        <v>5.85</v>
      </c>
      <c r="E210" s="454" t="s">
        <v>428</v>
      </c>
      <c r="F210" s="454">
        <v>5.85</v>
      </c>
      <c r="G210" s="454"/>
      <c r="H210" s="454" t="s">
        <v>272</v>
      </c>
      <c r="I210" s="454">
        <v>0.005849999999999999</v>
      </c>
      <c r="J210" s="454" t="s">
        <v>198</v>
      </c>
      <c r="K210" s="454" t="s">
        <v>272</v>
      </c>
      <c r="L210" s="454">
        <v>0.00217</v>
      </c>
      <c r="M210" s="454" t="s">
        <v>198</v>
      </c>
    </row>
    <row r="211" spans="1:13" ht="15">
      <c r="A211" s="455">
        <v>36410</v>
      </c>
      <c r="B211" s="454" t="s">
        <v>128</v>
      </c>
      <c r="C211" s="454" t="s">
        <v>272</v>
      </c>
      <c r="D211" s="454">
        <v>2.1</v>
      </c>
      <c r="E211" s="454" t="s">
        <v>428</v>
      </c>
      <c r="F211" s="454">
        <v>2.08</v>
      </c>
      <c r="G211" s="454"/>
      <c r="H211" s="454" t="s">
        <v>272</v>
      </c>
      <c r="I211" s="454">
        <v>0.0021000000000000003</v>
      </c>
      <c r="J211" s="454" t="s">
        <v>198</v>
      </c>
      <c r="K211" s="454"/>
      <c r="L211" s="454"/>
      <c r="M211" s="454"/>
    </row>
    <row r="212" spans="1:13" ht="15">
      <c r="A212" s="455">
        <v>36782</v>
      </c>
      <c r="B212" s="454" t="s">
        <v>128</v>
      </c>
      <c r="C212" s="454" t="s">
        <v>272</v>
      </c>
      <c r="D212" s="454">
        <v>2.08</v>
      </c>
      <c r="E212" s="454" t="s">
        <v>428</v>
      </c>
      <c r="F212" s="454">
        <v>2.08</v>
      </c>
      <c r="G212" s="454"/>
      <c r="H212" s="454" t="s">
        <v>272</v>
      </c>
      <c r="I212" s="454">
        <v>0.0020800000000000003</v>
      </c>
      <c r="J212" s="454" t="s">
        <v>198</v>
      </c>
      <c r="K212" s="454"/>
      <c r="L212" s="454"/>
      <c r="M212" s="454"/>
    </row>
    <row r="213" spans="1:13" ht="15">
      <c r="A213" s="455">
        <v>36937</v>
      </c>
      <c r="B213" s="454" t="s">
        <v>128</v>
      </c>
      <c r="C213" s="454" t="s">
        <v>272</v>
      </c>
      <c r="D213" s="454">
        <v>2.08</v>
      </c>
      <c r="E213" s="454" t="s">
        <v>428</v>
      </c>
      <c r="F213" s="454">
        <v>2.08</v>
      </c>
      <c r="G213" s="454"/>
      <c r="H213" s="454" t="s">
        <v>272</v>
      </c>
      <c r="I213" s="454">
        <v>0.0020800000000000003</v>
      </c>
      <c r="J213" s="454" t="s">
        <v>198</v>
      </c>
      <c r="K213" s="454"/>
      <c r="L213" s="454"/>
      <c r="M213" s="454"/>
    </row>
    <row r="214" spans="1:13" ht="15">
      <c r="A214" s="455">
        <v>36955</v>
      </c>
      <c r="B214" s="454" t="s">
        <v>128</v>
      </c>
      <c r="C214" s="454" t="s">
        <v>272</v>
      </c>
      <c r="D214" s="454">
        <v>2.08</v>
      </c>
      <c r="E214" s="454" t="s">
        <v>428</v>
      </c>
      <c r="F214" s="454">
        <v>2.08</v>
      </c>
      <c r="G214" s="454"/>
      <c r="H214" s="454" t="s">
        <v>272</v>
      </c>
      <c r="I214" s="454">
        <v>0.0020800000000000003</v>
      </c>
      <c r="J214" s="454" t="s">
        <v>198</v>
      </c>
      <c r="K214" s="454"/>
      <c r="L214" s="454"/>
      <c r="M214" s="454"/>
    </row>
    <row r="215" spans="1:13" ht="15">
      <c r="A215" s="455">
        <v>37119</v>
      </c>
      <c r="B215" s="454" t="s">
        <v>128</v>
      </c>
      <c r="C215" s="454" t="s">
        <v>272</v>
      </c>
      <c r="D215" s="454">
        <v>2.08</v>
      </c>
      <c r="E215" s="454" t="s">
        <v>428</v>
      </c>
      <c r="F215" s="454">
        <v>2.08</v>
      </c>
      <c r="G215" s="454"/>
      <c r="H215" s="454" t="s">
        <v>272</v>
      </c>
      <c r="I215" s="454">
        <v>0.0020800000000000003</v>
      </c>
      <c r="J215" s="454" t="s">
        <v>198</v>
      </c>
      <c r="K215" s="454"/>
      <c r="L215" s="454"/>
      <c r="M215" s="454"/>
    </row>
    <row r="216" spans="1:13" ht="15">
      <c r="A216" s="455">
        <v>37196</v>
      </c>
      <c r="B216" s="454" t="s">
        <v>128</v>
      </c>
      <c r="C216" s="454" t="s">
        <v>272</v>
      </c>
      <c r="D216" s="454">
        <v>2.08</v>
      </c>
      <c r="E216" s="454" t="s">
        <v>428</v>
      </c>
      <c r="F216" s="454">
        <v>2.08</v>
      </c>
      <c r="G216" s="454"/>
      <c r="H216" s="454" t="s">
        <v>272</v>
      </c>
      <c r="I216" s="454">
        <v>0.0020800000000000003</v>
      </c>
      <c r="J216" s="454" t="s">
        <v>198</v>
      </c>
      <c r="K216" s="454"/>
      <c r="L216" s="454"/>
      <c r="M216" s="454"/>
    </row>
    <row r="217" spans="1:13" ht="15">
      <c r="A217" s="455">
        <v>37243</v>
      </c>
      <c r="B217" s="454" t="s">
        <v>128</v>
      </c>
      <c r="C217" s="454" t="s">
        <v>272</v>
      </c>
      <c r="D217" s="454">
        <v>2.08</v>
      </c>
      <c r="E217" s="454" t="s">
        <v>428</v>
      </c>
      <c r="F217" s="454">
        <v>2.08</v>
      </c>
      <c r="G217" s="454"/>
      <c r="H217" s="454" t="s">
        <v>272</v>
      </c>
      <c r="I217" s="454">
        <v>0.0020800000000000003</v>
      </c>
      <c r="J217" s="454" t="s">
        <v>198</v>
      </c>
      <c r="K217" s="454"/>
      <c r="L217" s="454"/>
      <c r="M217" s="454"/>
    </row>
    <row r="218" spans="1:13" ht="15">
      <c r="A218" s="455">
        <v>37332</v>
      </c>
      <c r="B218" s="454" t="s">
        <v>128</v>
      </c>
      <c r="C218" s="454" t="s">
        <v>272</v>
      </c>
      <c r="D218" s="454">
        <v>2.08</v>
      </c>
      <c r="E218" s="454" t="s">
        <v>428</v>
      </c>
      <c r="F218" s="454">
        <v>2.08</v>
      </c>
      <c r="G218" s="454"/>
      <c r="H218" s="454" t="s">
        <v>272</v>
      </c>
      <c r="I218" s="454">
        <v>0.0020800000000000003</v>
      </c>
      <c r="J218" s="454" t="s">
        <v>198</v>
      </c>
      <c r="K218" s="454"/>
      <c r="L218" s="454"/>
      <c r="M218" s="454"/>
    </row>
    <row r="219" spans="1:13" ht="15">
      <c r="A219" s="455">
        <v>37521</v>
      </c>
      <c r="B219" s="454" t="s">
        <v>128</v>
      </c>
      <c r="C219" s="454" t="s">
        <v>272</v>
      </c>
      <c r="D219" s="454">
        <v>2.08</v>
      </c>
      <c r="E219" s="454" t="s">
        <v>428</v>
      </c>
      <c r="F219" s="454">
        <v>2.08</v>
      </c>
      <c r="G219" s="454"/>
      <c r="H219" s="454" t="s">
        <v>272</v>
      </c>
      <c r="I219" s="454">
        <v>0.0020800000000000003</v>
      </c>
      <c r="J219" s="454" t="s">
        <v>198</v>
      </c>
      <c r="K219" s="454"/>
      <c r="L219" s="454"/>
      <c r="M219" s="454"/>
    </row>
    <row r="220" spans="1:13" ht="15">
      <c r="A220" s="455">
        <v>37591</v>
      </c>
      <c r="B220" s="454" t="s">
        <v>128</v>
      </c>
      <c r="C220" s="454" t="s">
        <v>272</v>
      </c>
      <c r="D220" s="454">
        <v>2.08</v>
      </c>
      <c r="E220" s="454" t="s">
        <v>428</v>
      </c>
      <c r="F220" s="454">
        <v>2.08</v>
      </c>
      <c r="G220" s="454"/>
      <c r="H220" s="454" t="s">
        <v>272</v>
      </c>
      <c r="I220" s="454">
        <v>0.0020800000000000003</v>
      </c>
      <c r="J220" s="454" t="s">
        <v>198</v>
      </c>
      <c r="K220" s="454"/>
      <c r="L220" s="454"/>
      <c r="M220" s="454"/>
    </row>
    <row r="221" spans="1:13" ht="15">
      <c r="A221" s="455">
        <v>37671</v>
      </c>
      <c r="B221" s="454" t="s">
        <v>128</v>
      </c>
      <c r="C221" s="454" t="s">
        <v>272</v>
      </c>
      <c r="D221" s="454">
        <v>2.08</v>
      </c>
      <c r="E221" s="454" t="s">
        <v>428</v>
      </c>
      <c r="F221" s="454">
        <v>2.08</v>
      </c>
      <c r="G221" s="454"/>
      <c r="H221" s="454" t="s">
        <v>272</v>
      </c>
      <c r="I221" s="454">
        <v>0.0020800000000000003</v>
      </c>
      <c r="J221" s="454" t="s">
        <v>198</v>
      </c>
      <c r="K221" s="454" t="s">
        <v>272</v>
      </c>
      <c r="L221" s="454">
        <v>0.0020800000000000003</v>
      </c>
      <c r="M221" s="454" t="s">
        <v>198</v>
      </c>
    </row>
    <row r="222" spans="1:13" ht="15">
      <c r="A222" s="455">
        <v>36410</v>
      </c>
      <c r="B222" s="454" t="s">
        <v>440</v>
      </c>
      <c r="C222" s="454" t="s">
        <v>272</v>
      </c>
      <c r="D222" s="454">
        <v>2.41</v>
      </c>
      <c r="E222" s="454" t="s">
        <v>428</v>
      </c>
      <c r="F222" s="454">
        <v>6.9</v>
      </c>
      <c r="G222" s="454"/>
      <c r="H222" s="454" t="s">
        <v>272</v>
      </c>
      <c r="I222" s="454">
        <v>0.0024100000000000002</v>
      </c>
      <c r="J222" s="454" t="s">
        <v>198</v>
      </c>
      <c r="K222" s="454"/>
      <c r="L222" s="454"/>
      <c r="M222" s="454"/>
    </row>
    <row r="223" spans="1:13" ht="15">
      <c r="A223" s="455">
        <v>36782</v>
      </c>
      <c r="B223" s="454" t="s">
        <v>440</v>
      </c>
      <c r="C223" s="454" t="s">
        <v>272</v>
      </c>
      <c r="D223" s="454">
        <v>6.9</v>
      </c>
      <c r="E223" s="454" t="s">
        <v>428</v>
      </c>
      <c r="F223" s="454">
        <v>6.9</v>
      </c>
      <c r="G223" s="454"/>
      <c r="H223" s="454" t="s">
        <v>272</v>
      </c>
      <c r="I223" s="454">
        <v>0.006900000000000001</v>
      </c>
      <c r="J223" s="454" t="s">
        <v>198</v>
      </c>
      <c r="K223" s="454"/>
      <c r="L223" s="454"/>
      <c r="M223" s="454"/>
    </row>
    <row r="224" spans="1:13" ht="15">
      <c r="A224" s="455">
        <v>36937</v>
      </c>
      <c r="B224" s="454" t="s">
        <v>440</v>
      </c>
      <c r="C224" s="454" t="s">
        <v>272</v>
      </c>
      <c r="D224" s="454">
        <v>6.9</v>
      </c>
      <c r="E224" s="454" t="s">
        <v>428</v>
      </c>
      <c r="F224" s="454">
        <v>6.9</v>
      </c>
      <c r="G224" s="454"/>
      <c r="H224" s="454" t="s">
        <v>272</v>
      </c>
      <c r="I224" s="454">
        <v>0.006900000000000001</v>
      </c>
      <c r="J224" s="454" t="s">
        <v>198</v>
      </c>
      <c r="K224" s="454"/>
      <c r="L224" s="454"/>
      <c r="M224" s="454"/>
    </row>
    <row r="225" spans="1:13" ht="15">
      <c r="A225" s="455">
        <v>36955</v>
      </c>
      <c r="B225" s="454" t="s">
        <v>440</v>
      </c>
      <c r="C225" s="454" t="s">
        <v>272</v>
      </c>
      <c r="D225" s="454">
        <v>6.9</v>
      </c>
      <c r="E225" s="454" t="s">
        <v>428</v>
      </c>
      <c r="F225" s="454">
        <v>6.9</v>
      </c>
      <c r="G225" s="454"/>
      <c r="H225" s="454" t="s">
        <v>272</v>
      </c>
      <c r="I225" s="454">
        <v>0.006900000000000001</v>
      </c>
      <c r="J225" s="454" t="s">
        <v>198</v>
      </c>
      <c r="K225" s="454"/>
      <c r="L225" s="454"/>
      <c r="M225" s="454"/>
    </row>
    <row r="226" spans="1:13" ht="15">
      <c r="A226" s="455">
        <v>37119</v>
      </c>
      <c r="B226" s="454" t="s">
        <v>440</v>
      </c>
      <c r="C226" s="454" t="s">
        <v>272</v>
      </c>
      <c r="D226" s="454">
        <v>6.9</v>
      </c>
      <c r="E226" s="454" t="s">
        <v>428</v>
      </c>
      <c r="F226" s="454">
        <v>6.9</v>
      </c>
      <c r="G226" s="454"/>
      <c r="H226" s="454" t="s">
        <v>272</v>
      </c>
      <c r="I226" s="454">
        <v>0.006900000000000001</v>
      </c>
      <c r="J226" s="454" t="s">
        <v>198</v>
      </c>
      <c r="K226" s="454"/>
      <c r="L226" s="454"/>
      <c r="M226" s="454"/>
    </row>
    <row r="227" spans="1:13" ht="15">
      <c r="A227" s="455">
        <v>37196</v>
      </c>
      <c r="B227" s="454" t="s">
        <v>440</v>
      </c>
      <c r="C227" s="454" t="s">
        <v>272</v>
      </c>
      <c r="D227" s="454">
        <v>6.9</v>
      </c>
      <c r="E227" s="454" t="s">
        <v>428</v>
      </c>
      <c r="F227" s="454">
        <v>6.9</v>
      </c>
      <c r="G227" s="454"/>
      <c r="H227" s="454" t="s">
        <v>272</v>
      </c>
      <c r="I227" s="454">
        <v>0.006900000000000001</v>
      </c>
      <c r="J227" s="454" t="s">
        <v>198</v>
      </c>
      <c r="K227" s="454"/>
      <c r="L227" s="454"/>
      <c r="M227" s="454"/>
    </row>
    <row r="228" spans="1:13" ht="15">
      <c r="A228" s="455">
        <v>37243</v>
      </c>
      <c r="B228" s="454" t="s">
        <v>440</v>
      </c>
      <c r="C228" s="454" t="s">
        <v>272</v>
      </c>
      <c r="D228" s="454">
        <v>6.9</v>
      </c>
      <c r="E228" s="454" t="s">
        <v>428</v>
      </c>
      <c r="F228" s="454">
        <v>6.9</v>
      </c>
      <c r="G228" s="454"/>
      <c r="H228" s="454" t="s">
        <v>272</v>
      </c>
      <c r="I228" s="454">
        <v>0.006900000000000001</v>
      </c>
      <c r="J228" s="454" t="s">
        <v>198</v>
      </c>
      <c r="K228" s="454"/>
      <c r="L228" s="454"/>
      <c r="M228" s="454"/>
    </row>
    <row r="229" spans="1:13" ht="15">
      <c r="A229" s="455">
        <v>37332</v>
      </c>
      <c r="B229" s="454" t="s">
        <v>440</v>
      </c>
      <c r="C229" s="454" t="s">
        <v>272</v>
      </c>
      <c r="D229" s="454">
        <v>6.9</v>
      </c>
      <c r="E229" s="454" t="s">
        <v>428</v>
      </c>
      <c r="F229" s="454">
        <v>6.9</v>
      </c>
      <c r="G229" s="454"/>
      <c r="H229" s="454" t="s">
        <v>272</v>
      </c>
      <c r="I229" s="454">
        <v>0.006900000000000001</v>
      </c>
      <c r="J229" s="454" t="s">
        <v>198</v>
      </c>
      <c r="K229" s="454"/>
      <c r="L229" s="454"/>
      <c r="M229" s="454"/>
    </row>
    <row r="230" spans="1:13" ht="15">
      <c r="A230" s="455">
        <v>37521</v>
      </c>
      <c r="B230" s="454" t="s">
        <v>440</v>
      </c>
      <c r="C230" s="454" t="s">
        <v>272</v>
      </c>
      <c r="D230" s="454">
        <v>6.9</v>
      </c>
      <c r="E230" s="454" t="s">
        <v>428</v>
      </c>
      <c r="F230" s="454">
        <v>6.9</v>
      </c>
      <c r="G230" s="454"/>
      <c r="H230" s="454" t="s">
        <v>272</v>
      </c>
      <c r="I230" s="454">
        <v>0.006900000000000001</v>
      </c>
      <c r="J230" s="454" t="s">
        <v>198</v>
      </c>
      <c r="K230" s="454"/>
      <c r="L230" s="454"/>
      <c r="M230" s="454"/>
    </row>
    <row r="231" spans="1:13" ht="15">
      <c r="A231" s="455">
        <v>37591</v>
      </c>
      <c r="B231" s="454" t="s">
        <v>440</v>
      </c>
      <c r="C231" s="454" t="s">
        <v>272</v>
      </c>
      <c r="D231" s="454">
        <v>6.9</v>
      </c>
      <c r="E231" s="454" t="s">
        <v>428</v>
      </c>
      <c r="F231" s="454">
        <v>6.9</v>
      </c>
      <c r="G231" s="454"/>
      <c r="H231" s="454" t="s">
        <v>272</v>
      </c>
      <c r="I231" s="454">
        <v>0.006900000000000001</v>
      </c>
      <c r="J231" s="454" t="s">
        <v>198</v>
      </c>
      <c r="K231" s="454"/>
      <c r="L231" s="454"/>
      <c r="M231" s="454"/>
    </row>
    <row r="232" spans="1:13" ht="15">
      <c r="A232" s="455">
        <v>37671</v>
      </c>
      <c r="B232" s="454" t="s">
        <v>440</v>
      </c>
      <c r="C232" s="454" t="s">
        <v>272</v>
      </c>
      <c r="D232" s="454">
        <v>6.9</v>
      </c>
      <c r="E232" s="454" t="s">
        <v>428</v>
      </c>
      <c r="F232" s="454">
        <v>6.9</v>
      </c>
      <c r="G232" s="454"/>
      <c r="H232" s="454" t="s">
        <v>272</v>
      </c>
      <c r="I232" s="454">
        <v>0.006900000000000001</v>
      </c>
      <c r="J232" s="454" t="s">
        <v>198</v>
      </c>
      <c r="K232" s="454" t="s">
        <v>272</v>
      </c>
      <c r="L232" s="454">
        <v>0.0024100000000000002</v>
      </c>
      <c r="M232" s="454" t="s">
        <v>198</v>
      </c>
    </row>
    <row r="233" spans="1:13" ht="15">
      <c r="A233" s="455">
        <v>36410</v>
      </c>
      <c r="B233" s="454" t="s">
        <v>441</v>
      </c>
      <c r="C233" s="454" t="s">
        <v>272</v>
      </c>
      <c r="D233" s="454">
        <v>1.39</v>
      </c>
      <c r="E233" s="454" t="s">
        <v>428</v>
      </c>
      <c r="F233" s="454">
        <v>1.12</v>
      </c>
      <c r="G233" s="454"/>
      <c r="H233" s="454" t="s">
        <v>272</v>
      </c>
      <c r="I233" s="454">
        <v>0.00139</v>
      </c>
      <c r="J233" s="454" t="s">
        <v>198</v>
      </c>
      <c r="K233" s="454"/>
      <c r="L233" s="454"/>
      <c r="M233" s="454"/>
    </row>
    <row r="234" spans="1:13" ht="15">
      <c r="A234" s="455">
        <v>36782</v>
      </c>
      <c r="B234" s="454" t="s">
        <v>441</v>
      </c>
      <c r="C234" s="454" t="s">
        <v>272</v>
      </c>
      <c r="D234" s="454">
        <v>1.12</v>
      </c>
      <c r="E234" s="454" t="s">
        <v>428</v>
      </c>
      <c r="F234" s="454">
        <v>1.12</v>
      </c>
      <c r="G234" s="454"/>
      <c r="H234" s="454" t="s">
        <v>272</v>
      </c>
      <c r="I234" s="454">
        <v>0.0011200000000000001</v>
      </c>
      <c r="J234" s="454" t="s">
        <v>198</v>
      </c>
      <c r="K234" s="454"/>
      <c r="L234" s="454"/>
      <c r="M234" s="454"/>
    </row>
    <row r="235" spans="1:13" ht="15">
      <c r="A235" s="455">
        <v>36937</v>
      </c>
      <c r="B235" s="454" t="s">
        <v>441</v>
      </c>
      <c r="C235" s="454" t="s">
        <v>272</v>
      </c>
      <c r="D235" s="454">
        <v>1.12</v>
      </c>
      <c r="E235" s="454" t="s">
        <v>428</v>
      </c>
      <c r="F235" s="454">
        <v>1.12</v>
      </c>
      <c r="G235" s="454"/>
      <c r="H235" s="454" t="s">
        <v>272</v>
      </c>
      <c r="I235" s="454">
        <v>0.0011200000000000001</v>
      </c>
      <c r="J235" s="454" t="s">
        <v>198</v>
      </c>
      <c r="K235" s="454"/>
      <c r="L235" s="454"/>
      <c r="M235" s="454"/>
    </row>
    <row r="236" spans="1:13" ht="15">
      <c r="A236" s="455">
        <v>36955</v>
      </c>
      <c r="B236" s="454" t="s">
        <v>441</v>
      </c>
      <c r="C236" s="454" t="s">
        <v>272</v>
      </c>
      <c r="D236" s="454">
        <v>1.12</v>
      </c>
      <c r="E236" s="454" t="s">
        <v>428</v>
      </c>
      <c r="F236" s="454">
        <v>1.12</v>
      </c>
      <c r="G236" s="454"/>
      <c r="H236" s="454" t="s">
        <v>272</v>
      </c>
      <c r="I236" s="454">
        <v>0.0011200000000000001</v>
      </c>
      <c r="J236" s="454" t="s">
        <v>198</v>
      </c>
      <c r="K236" s="454"/>
      <c r="L236" s="454"/>
      <c r="M236" s="454"/>
    </row>
    <row r="237" spans="1:13" ht="15">
      <c r="A237" s="455">
        <v>37119</v>
      </c>
      <c r="B237" s="454" t="s">
        <v>441</v>
      </c>
      <c r="C237" s="454" t="s">
        <v>272</v>
      </c>
      <c r="D237" s="454">
        <v>1.12</v>
      </c>
      <c r="E237" s="454" t="s">
        <v>428</v>
      </c>
      <c r="F237" s="454">
        <v>1.12</v>
      </c>
      <c r="G237" s="454"/>
      <c r="H237" s="454" t="s">
        <v>272</v>
      </c>
      <c r="I237" s="454">
        <v>0.0011200000000000001</v>
      </c>
      <c r="J237" s="454" t="s">
        <v>198</v>
      </c>
      <c r="K237" s="454"/>
      <c r="L237" s="454"/>
      <c r="M237" s="454"/>
    </row>
    <row r="238" spans="1:13" ht="15">
      <c r="A238" s="455">
        <v>37196</v>
      </c>
      <c r="B238" s="454" t="s">
        <v>441</v>
      </c>
      <c r="C238" s="454" t="s">
        <v>272</v>
      </c>
      <c r="D238" s="454">
        <v>1.12</v>
      </c>
      <c r="E238" s="454" t="s">
        <v>428</v>
      </c>
      <c r="F238" s="454">
        <v>1.12</v>
      </c>
      <c r="G238" s="454"/>
      <c r="H238" s="454" t="s">
        <v>272</v>
      </c>
      <c r="I238" s="454">
        <v>0.0011200000000000001</v>
      </c>
      <c r="J238" s="454" t="s">
        <v>198</v>
      </c>
      <c r="K238" s="454"/>
      <c r="L238" s="454"/>
      <c r="M238" s="454"/>
    </row>
    <row r="239" spans="1:13" ht="15">
      <c r="A239" s="455">
        <v>37243</v>
      </c>
      <c r="B239" s="454" t="s">
        <v>441</v>
      </c>
      <c r="C239" s="454" t="s">
        <v>272</v>
      </c>
      <c r="D239" s="454">
        <v>1.12</v>
      </c>
      <c r="E239" s="454" t="s">
        <v>428</v>
      </c>
      <c r="F239" s="454">
        <v>1.12</v>
      </c>
      <c r="G239" s="454"/>
      <c r="H239" s="454" t="s">
        <v>272</v>
      </c>
      <c r="I239" s="454">
        <v>0.0011200000000000001</v>
      </c>
      <c r="J239" s="454" t="s">
        <v>198</v>
      </c>
      <c r="K239" s="454"/>
      <c r="L239" s="454"/>
      <c r="M239" s="454"/>
    </row>
    <row r="240" spans="1:13" ht="15">
      <c r="A240" s="455">
        <v>37332</v>
      </c>
      <c r="B240" s="454" t="s">
        <v>441</v>
      </c>
      <c r="C240" s="454" t="s">
        <v>272</v>
      </c>
      <c r="D240" s="454">
        <v>1.12</v>
      </c>
      <c r="E240" s="454" t="s">
        <v>428</v>
      </c>
      <c r="F240" s="454">
        <v>1.12</v>
      </c>
      <c r="G240" s="454"/>
      <c r="H240" s="454" t="s">
        <v>272</v>
      </c>
      <c r="I240" s="454">
        <v>0.0011200000000000001</v>
      </c>
      <c r="J240" s="454" t="s">
        <v>198</v>
      </c>
      <c r="K240" s="454"/>
      <c r="L240" s="454"/>
      <c r="M240" s="454"/>
    </row>
    <row r="241" spans="1:13" ht="15">
      <c r="A241" s="455">
        <v>37521</v>
      </c>
      <c r="B241" s="454" t="s">
        <v>441</v>
      </c>
      <c r="C241" s="454" t="s">
        <v>272</v>
      </c>
      <c r="D241" s="454">
        <v>1.12</v>
      </c>
      <c r="E241" s="454" t="s">
        <v>428</v>
      </c>
      <c r="F241" s="454">
        <v>1.12</v>
      </c>
      <c r="G241" s="454"/>
      <c r="H241" s="454" t="s">
        <v>272</v>
      </c>
      <c r="I241" s="454">
        <v>0.0011200000000000001</v>
      </c>
      <c r="J241" s="454" t="s">
        <v>198</v>
      </c>
      <c r="K241" s="454"/>
      <c r="L241" s="454"/>
      <c r="M241" s="454"/>
    </row>
    <row r="242" spans="1:13" ht="15">
      <c r="A242" s="455">
        <v>37591</v>
      </c>
      <c r="B242" s="454" t="s">
        <v>441</v>
      </c>
      <c r="C242" s="454" t="s">
        <v>272</v>
      </c>
      <c r="D242" s="454">
        <v>1.12</v>
      </c>
      <c r="E242" s="454" t="s">
        <v>428</v>
      </c>
      <c r="F242" s="454">
        <v>1.12</v>
      </c>
      <c r="G242" s="454"/>
      <c r="H242" s="454" t="s">
        <v>272</v>
      </c>
      <c r="I242" s="454">
        <v>0.0011200000000000001</v>
      </c>
      <c r="J242" s="454" t="s">
        <v>198</v>
      </c>
      <c r="K242" s="454"/>
      <c r="L242" s="454"/>
      <c r="M242" s="454"/>
    </row>
    <row r="243" spans="1:13" ht="15">
      <c r="A243" s="455">
        <v>37671</v>
      </c>
      <c r="B243" s="454" t="s">
        <v>441</v>
      </c>
      <c r="C243" s="454" t="s">
        <v>272</v>
      </c>
      <c r="D243" s="454">
        <v>1.12</v>
      </c>
      <c r="E243" s="454" t="s">
        <v>428</v>
      </c>
      <c r="F243" s="454">
        <v>1.12</v>
      </c>
      <c r="G243" s="454"/>
      <c r="H243" s="454" t="s">
        <v>272</v>
      </c>
      <c r="I243" s="454">
        <v>0.0011200000000000001</v>
      </c>
      <c r="J243" s="454" t="s">
        <v>198</v>
      </c>
      <c r="K243" s="454" t="s">
        <v>272</v>
      </c>
      <c r="L243" s="454">
        <v>0.0011200000000000001</v>
      </c>
      <c r="M243" s="454" t="s">
        <v>198</v>
      </c>
    </row>
    <row r="244" spans="1:13" ht="15">
      <c r="A244" s="455">
        <v>36410</v>
      </c>
      <c r="B244" s="454" t="s">
        <v>130</v>
      </c>
      <c r="C244" s="454" t="s">
        <v>272</v>
      </c>
      <c r="D244" s="454">
        <v>1.23</v>
      </c>
      <c r="E244" s="454" t="s">
        <v>428</v>
      </c>
      <c r="F244" s="454">
        <v>1</v>
      </c>
      <c r="G244" s="454"/>
      <c r="H244" s="454" t="s">
        <v>272</v>
      </c>
      <c r="I244" s="454">
        <v>0.00123</v>
      </c>
      <c r="J244" s="454" t="s">
        <v>198</v>
      </c>
      <c r="K244" s="454"/>
      <c r="L244" s="454"/>
      <c r="M244" s="454"/>
    </row>
    <row r="245" spans="1:13" ht="15">
      <c r="A245" s="455">
        <v>36782</v>
      </c>
      <c r="B245" s="454" t="s">
        <v>130</v>
      </c>
      <c r="C245" s="454" t="s">
        <v>272</v>
      </c>
      <c r="D245" s="454">
        <v>1</v>
      </c>
      <c r="E245" s="454" t="s">
        <v>428</v>
      </c>
      <c r="F245" s="454">
        <v>1</v>
      </c>
      <c r="G245" s="454"/>
      <c r="H245" s="454" t="s">
        <v>272</v>
      </c>
      <c r="I245" s="454">
        <v>0.001</v>
      </c>
      <c r="J245" s="454" t="s">
        <v>198</v>
      </c>
      <c r="K245" s="454"/>
      <c r="L245" s="454"/>
      <c r="M245" s="454"/>
    </row>
    <row r="246" spans="1:13" ht="15">
      <c r="A246" s="455">
        <v>36937</v>
      </c>
      <c r="B246" s="454" t="s">
        <v>130</v>
      </c>
      <c r="C246" s="454" t="s">
        <v>272</v>
      </c>
      <c r="D246" s="454">
        <v>1</v>
      </c>
      <c r="E246" s="454" t="s">
        <v>428</v>
      </c>
      <c r="F246" s="454">
        <v>1</v>
      </c>
      <c r="G246" s="454"/>
      <c r="H246" s="454" t="s">
        <v>272</v>
      </c>
      <c r="I246" s="454">
        <v>0.001</v>
      </c>
      <c r="J246" s="454" t="s">
        <v>198</v>
      </c>
      <c r="K246" s="454"/>
      <c r="L246" s="454"/>
      <c r="M246" s="454"/>
    </row>
    <row r="247" spans="1:13" ht="15">
      <c r="A247" s="455">
        <v>36955</v>
      </c>
      <c r="B247" s="454" t="s">
        <v>130</v>
      </c>
      <c r="C247" s="454" t="s">
        <v>272</v>
      </c>
      <c r="D247" s="454">
        <v>1</v>
      </c>
      <c r="E247" s="454" t="s">
        <v>428</v>
      </c>
      <c r="F247" s="454">
        <v>1</v>
      </c>
      <c r="G247" s="454"/>
      <c r="H247" s="454" t="s">
        <v>272</v>
      </c>
      <c r="I247" s="454">
        <v>0.001</v>
      </c>
      <c r="J247" s="454" t="s">
        <v>198</v>
      </c>
      <c r="K247" s="454"/>
      <c r="L247" s="454"/>
      <c r="M247" s="454"/>
    </row>
    <row r="248" spans="1:13" ht="15">
      <c r="A248" s="455">
        <v>37119</v>
      </c>
      <c r="B248" s="454" t="s">
        <v>130</v>
      </c>
      <c r="C248" s="454" t="s">
        <v>272</v>
      </c>
      <c r="D248" s="454">
        <v>1</v>
      </c>
      <c r="E248" s="454" t="s">
        <v>428</v>
      </c>
      <c r="F248" s="454">
        <v>1</v>
      </c>
      <c r="G248" s="454"/>
      <c r="H248" s="454" t="s">
        <v>272</v>
      </c>
      <c r="I248" s="454">
        <v>0.001</v>
      </c>
      <c r="J248" s="454" t="s">
        <v>198</v>
      </c>
      <c r="K248" s="454"/>
      <c r="L248" s="454"/>
      <c r="M248" s="454"/>
    </row>
    <row r="249" spans="1:13" ht="15">
      <c r="A249" s="455">
        <v>37196</v>
      </c>
      <c r="B249" s="454" t="s">
        <v>130</v>
      </c>
      <c r="C249" s="454" t="s">
        <v>272</v>
      </c>
      <c r="D249" s="454">
        <v>1</v>
      </c>
      <c r="E249" s="454" t="s">
        <v>428</v>
      </c>
      <c r="F249" s="454">
        <v>1</v>
      </c>
      <c r="G249" s="454"/>
      <c r="H249" s="454" t="s">
        <v>272</v>
      </c>
      <c r="I249" s="454">
        <v>0.001</v>
      </c>
      <c r="J249" s="454" t="s">
        <v>198</v>
      </c>
      <c r="K249" s="454"/>
      <c r="L249" s="454"/>
      <c r="M249" s="454"/>
    </row>
    <row r="250" spans="1:13" ht="15">
      <c r="A250" s="455">
        <v>37243</v>
      </c>
      <c r="B250" s="454" t="s">
        <v>130</v>
      </c>
      <c r="C250" s="454" t="s">
        <v>272</v>
      </c>
      <c r="D250" s="454">
        <v>1</v>
      </c>
      <c r="E250" s="454" t="s">
        <v>428</v>
      </c>
      <c r="F250" s="454">
        <v>1</v>
      </c>
      <c r="G250" s="454"/>
      <c r="H250" s="454" t="s">
        <v>272</v>
      </c>
      <c r="I250" s="454">
        <v>0.001</v>
      </c>
      <c r="J250" s="454" t="s">
        <v>198</v>
      </c>
      <c r="K250" s="454"/>
      <c r="L250" s="454"/>
      <c r="M250" s="454"/>
    </row>
    <row r="251" spans="1:13" ht="15">
      <c r="A251" s="455">
        <v>37332</v>
      </c>
      <c r="B251" s="454" t="s">
        <v>130</v>
      </c>
      <c r="C251" s="454" t="s">
        <v>272</v>
      </c>
      <c r="D251" s="454">
        <v>1</v>
      </c>
      <c r="E251" s="454" t="s">
        <v>428</v>
      </c>
      <c r="F251" s="454">
        <v>1</v>
      </c>
      <c r="G251" s="454"/>
      <c r="H251" s="454" t="s">
        <v>272</v>
      </c>
      <c r="I251" s="454">
        <v>0.001</v>
      </c>
      <c r="J251" s="454" t="s">
        <v>198</v>
      </c>
      <c r="K251" s="454"/>
      <c r="L251" s="454"/>
      <c r="M251" s="454"/>
    </row>
    <row r="252" spans="1:13" ht="15">
      <c r="A252" s="455">
        <v>37521</v>
      </c>
      <c r="B252" s="454" t="s">
        <v>130</v>
      </c>
      <c r="C252" s="454" t="s">
        <v>272</v>
      </c>
      <c r="D252" s="454">
        <v>1</v>
      </c>
      <c r="E252" s="454" t="s">
        <v>428</v>
      </c>
      <c r="F252" s="454">
        <v>1</v>
      </c>
      <c r="G252" s="454"/>
      <c r="H252" s="454" t="s">
        <v>272</v>
      </c>
      <c r="I252" s="454">
        <v>0.001</v>
      </c>
      <c r="J252" s="454" t="s">
        <v>198</v>
      </c>
      <c r="K252" s="454"/>
      <c r="L252" s="454"/>
      <c r="M252" s="454"/>
    </row>
    <row r="253" spans="1:13" ht="15">
      <c r="A253" s="455">
        <v>37591</v>
      </c>
      <c r="B253" s="454" t="s">
        <v>130</v>
      </c>
      <c r="C253" s="454" t="s">
        <v>272</v>
      </c>
      <c r="D253" s="454">
        <v>1</v>
      </c>
      <c r="E253" s="454" t="s">
        <v>428</v>
      </c>
      <c r="F253" s="454">
        <v>1</v>
      </c>
      <c r="G253" s="454"/>
      <c r="H253" s="454" t="s">
        <v>272</v>
      </c>
      <c r="I253" s="454">
        <v>0.001</v>
      </c>
      <c r="J253" s="454" t="s">
        <v>198</v>
      </c>
      <c r="K253" s="454"/>
      <c r="L253" s="454"/>
      <c r="M253" s="454"/>
    </row>
    <row r="254" spans="1:13" ht="15">
      <c r="A254" s="455">
        <v>37671</v>
      </c>
      <c r="B254" s="454" t="s">
        <v>130</v>
      </c>
      <c r="C254" s="454" t="s">
        <v>272</v>
      </c>
      <c r="D254" s="454">
        <v>1</v>
      </c>
      <c r="E254" s="454" t="s">
        <v>428</v>
      </c>
      <c r="F254" s="454">
        <v>1</v>
      </c>
      <c r="G254" s="454"/>
      <c r="H254" s="454" t="s">
        <v>272</v>
      </c>
      <c r="I254" s="454">
        <v>0.001</v>
      </c>
      <c r="J254" s="454" t="s">
        <v>198</v>
      </c>
      <c r="K254" s="454" t="s">
        <v>272</v>
      </c>
      <c r="L254" s="454">
        <v>0.001</v>
      </c>
      <c r="M254" s="454" t="s">
        <v>198</v>
      </c>
    </row>
    <row r="255" spans="1:13" ht="15">
      <c r="A255" s="455">
        <v>36410</v>
      </c>
      <c r="B255" s="454" t="s">
        <v>442</v>
      </c>
      <c r="C255" s="454" t="s">
        <v>272</v>
      </c>
      <c r="D255" s="454">
        <v>1.89</v>
      </c>
      <c r="E255" s="454" t="s">
        <v>428</v>
      </c>
      <c r="F255" s="454">
        <v>1.23</v>
      </c>
      <c r="G255" s="454"/>
      <c r="H255" s="454" t="s">
        <v>272</v>
      </c>
      <c r="I255" s="454">
        <v>0.00189</v>
      </c>
      <c r="J255" s="454" t="s">
        <v>198</v>
      </c>
      <c r="K255" s="454"/>
      <c r="L255" s="454"/>
      <c r="M255" s="454"/>
    </row>
    <row r="256" spans="1:13" ht="15">
      <c r="A256" s="455">
        <v>36782</v>
      </c>
      <c r="B256" s="454" t="s">
        <v>442</v>
      </c>
      <c r="C256" s="454" t="s">
        <v>272</v>
      </c>
      <c r="D256" s="454">
        <v>1.23</v>
      </c>
      <c r="E256" s="454" t="s">
        <v>428</v>
      </c>
      <c r="F256" s="454">
        <v>1.23</v>
      </c>
      <c r="G256" s="454"/>
      <c r="H256" s="454" t="s">
        <v>272</v>
      </c>
      <c r="I256" s="454">
        <v>0.00123</v>
      </c>
      <c r="J256" s="454" t="s">
        <v>198</v>
      </c>
      <c r="K256" s="454"/>
      <c r="L256" s="454"/>
      <c r="M256" s="454"/>
    </row>
    <row r="257" spans="1:13" ht="15">
      <c r="A257" s="455">
        <v>36937</v>
      </c>
      <c r="B257" s="454" t="s">
        <v>442</v>
      </c>
      <c r="C257" s="454" t="s">
        <v>272</v>
      </c>
      <c r="D257" s="454">
        <v>1.23</v>
      </c>
      <c r="E257" s="454" t="s">
        <v>428</v>
      </c>
      <c r="F257" s="454">
        <v>1.23</v>
      </c>
      <c r="G257" s="454"/>
      <c r="H257" s="454" t="s">
        <v>272</v>
      </c>
      <c r="I257" s="454">
        <v>0.00123</v>
      </c>
      <c r="J257" s="454" t="s">
        <v>198</v>
      </c>
      <c r="K257" s="454"/>
      <c r="L257" s="454"/>
      <c r="M257" s="454"/>
    </row>
    <row r="258" spans="1:13" ht="15">
      <c r="A258" s="455">
        <v>36955</v>
      </c>
      <c r="B258" s="454" t="s">
        <v>442</v>
      </c>
      <c r="C258" s="454" t="s">
        <v>272</v>
      </c>
      <c r="D258" s="454">
        <v>1.23</v>
      </c>
      <c r="E258" s="454" t="s">
        <v>428</v>
      </c>
      <c r="F258" s="454">
        <v>1.23</v>
      </c>
      <c r="G258" s="454"/>
      <c r="H258" s="454" t="s">
        <v>272</v>
      </c>
      <c r="I258" s="454">
        <v>0.00123</v>
      </c>
      <c r="J258" s="454" t="s">
        <v>198</v>
      </c>
      <c r="K258" s="454"/>
      <c r="L258" s="454"/>
      <c r="M258" s="454"/>
    </row>
    <row r="259" spans="1:13" ht="15">
      <c r="A259" s="455">
        <v>37119</v>
      </c>
      <c r="B259" s="454" t="s">
        <v>442</v>
      </c>
      <c r="C259" s="454" t="s">
        <v>272</v>
      </c>
      <c r="D259" s="454">
        <v>1.23</v>
      </c>
      <c r="E259" s="454" t="s">
        <v>428</v>
      </c>
      <c r="F259" s="454">
        <v>1.23</v>
      </c>
      <c r="G259" s="454"/>
      <c r="H259" s="454" t="s">
        <v>272</v>
      </c>
      <c r="I259" s="454">
        <v>0.00123</v>
      </c>
      <c r="J259" s="454" t="s">
        <v>198</v>
      </c>
      <c r="K259" s="454"/>
      <c r="L259" s="454"/>
      <c r="M259" s="454"/>
    </row>
    <row r="260" spans="1:13" ht="15">
      <c r="A260" s="455">
        <v>37196</v>
      </c>
      <c r="B260" s="454" t="s">
        <v>442</v>
      </c>
      <c r="C260" s="454" t="s">
        <v>272</v>
      </c>
      <c r="D260" s="454">
        <v>1.23</v>
      </c>
      <c r="E260" s="454" t="s">
        <v>428</v>
      </c>
      <c r="F260" s="454">
        <v>1.23</v>
      </c>
      <c r="G260" s="454"/>
      <c r="H260" s="454" t="s">
        <v>272</v>
      </c>
      <c r="I260" s="454">
        <v>0.00123</v>
      </c>
      <c r="J260" s="454" t="s">
        <v>198</v>
      </c>
      <c r="K260" s="454"/>
      <c r="L260" s="454"/>
      <c r="M260" s="454"/>
    </row>
    <row r="261" spans="1:13" ht="15">
      <c r="A261" s="455">
        <v>37243</v>
      </c>
      <c r="B261" s="454" t="s">
        <v>442</v>
      </c>
      <c r="C261" s="454" t="s">
        <v>272</v>
      </c>
      <c r="D261" s="454">
        <v>1.23</v>
      </c>
      <c r="E261" s="454" t="s">
        <v>428</v>
      </c>
      <c r="F261" s="454">
        <v>1.23</v>
      </c>
      <c r="G261" s="454"/>
      <c r="H261" s="454" t="s">
        <v>272</v>
      </c>
      <c r="I261" s="454">
        <v>0.00123</v>
      </c>
      <c r="J261" s="454" t="s">
        <v>198</v>
      </c>
      <c r="K261" s="454"/>
      <c r="L261" s="454"/>
      <c r="M261" s="454"/>
    </row>
    <row r="262" spans="1:13" ht="15">
      <c r="A262" s="455">
        <v>37332</v>
      </c>
      <c r="B262" s="454" t="s">
        <v>442</v>
      </c>
      <c r="C262" s="454" t="s">
        <v>272</v>
      </c>
      <c r="D262" s="454">
        <v>1.23</v>
      </c>
      <c r="E262" s="454" t="s">
        <v>428</v>
      </c>
      <c r="F262" s="454">
        <v>1.23</v>
      </c>
      <c r="G262" s="454"/>
      <c r="H262" s="454" t="s">
        <v>272</v>
      </c>
      <c r="I262" s="454">
        <v>0.00123</v>
      </c>
      <c r="J262" s="454" t="s">
        <v>198</v>
      </c>
      <c r="K262" s="454"/>
      <c r="L262" s="454"/>
      <c r="M262" s="454"/>
    </row>
    <row r="263" spans="1:13" ht="15">
      <c r="A263" s="455">
        <v>37521</v>
      </c>
      <c r="B263" s="454" t="s">
        <v>442</v>
      </c>
      <c r="C263" s="454" t="s">
        <v>272</v>
      </c>
      <c r="D263" s="454">
        <v>1.23</v>
      </c>
      <c r="E263" s="454" t="s">
        <v>428</v>
      </c>
      <c r="F263" s="454">
        <v>1.23</v>
      </c>
      <c r="G263" s="454"/>
      <c r="H263" s="454" t="s">
        <v>272</v>
      </c>
      <c r="I263" s="454">
        <v>0.00123</v>
      </c>
      <c r="J263" s="454" t="s">
        <v>198</v>
      </c>
      <c r="K263" s="454"/>
      <c r="L263" s="454"/>
      <c r="M263" s="454"/>
    </row>
    <row r="264" spans="1:13" ht="15">
      <c r="A264" s="455">
        <v>37591</v>
      </c>
      <c r="B264" s="454" t="s">
        <v>442</v>
      </c>
      <c r="C264" s="454" t="s">
        <v>272</v>
      </c>
      <c r="D264" s="454">
        <v>1.23</v>
      </c>
      <c r="E264" s="454" t="s">
        <v>428</v>
      </c>
      <c r="F264" s="454">
        <v>1.23</v>
      </c>
      <c r="G264" s="454"/>
      <c r="H264" s="454" t="s">
        <v>272</v>
      </c>
      <c r="I264" s="454">
        <v>0.00123</v>
      </c>
      <c r="J264" s="454" t="s">
        <v>198</v>
      </c>
      <c r="K264" s="454"/>
      <c r="L264" s="454"/>
      <c r="M264" s="454"/>
    </row>
    <row r="265" spans="1:13" ht="15">
      <c r="A265" s="455">
        <v>37671</v>
      </c>
      <c r="B265" s="454" t="s">
        <v>442</v>
      </c>
      <c r="C265" s="454" t="s">
        <v>272</v>
      </c>
      <c r="D265" s="454">
        <v>1.23</v>
      </c>
      <c r="E265" s="454" t="s">
        <v>428</v>
      </c>
      <c r="F265" s="454">
        <v>1.23</v>
      </c>
      <c r="G265" s="454"/>
      <c r="H265" s="454" t="s">
        <v>272</v>
      </c>
      <c r="I265" s="454">
        <v>0.00123</v>
      </c>
      <c r="J265" s="454" t="s">
        <v>198</v>
      </c>
      <c r="K265" s="454" t="s">
        <v>272</v>
      </c>
      <c r="L265" s="454">
        <v>0.00123</v>
      </c>
      <c r="M265" s="454" t="s">
        <v>198</v>
      </c>
    </row>
    <row r="266" spans="1:13" ht="15">
      <c r="A266" s="455">
        <v>36410</v>
      </c>
      <c r="B266" s="454" t="s">
        <v>132</v>
      </c>
      <c r="C266" s="454" t="s">
        <v>272</v>
      </c>
      <c r="D266" s="454">
        <v>35</v>
      </c>
      <c r="E266" s="454" t="s">
        <v>428</v>
      </c>
      <c r="F266" s="454">
        <v>35</v>
      </c>
      <c r="G266" s="454"/>
      <c r="H266" s="454" t="s">
        <v>272</v>
      </c>
      <c r="I266" s="454">
        <v>0.035</v>
      </c>
      <c r="J266" s="454" t="s">
        <v>198</v>
      </c>
      <c r="K266" s="454"/>
      <c r="L266" s="454"/>
      <c r="M266" s="454"/>
    </row>
    <row r="267" spans="1:13" ht="15">
      <c r="A267" s="455">
        <v>36782</v>
      </c>
      <c r="B267" s="454" t="s">
        <v>132</v>
      </c>
      <c r="C267" s="454" t="s">
        <v>272</v>
      </c>
      <c r="D267" s="454">
        <v>35</v>
      </c>
      <c r="E267" s="454" t="s">
        <v>428</v>
      </c>
      <c r="F267" s="454">
        <v>35</v>
      </c>
      <c r="G267" s="454"/>
      <c r="H267" s="454" t="s">
        <v>272</v>
      </c>
      <c r="I267" s="454">
        <v>0.035</v>
      </c>
      <c r="J267" s="454" t="s">
        <v>198</v>
      </c>
      <c r="K267" s="454"/>
      <c r="L267" s="454"/>
      <c r="M267" s="454"/>
    </row>
    <row r="268" spans="1:13" ht="15">
      <c r="A268" s="455">
        <v>36937</v>
      </c>
      <c r="B268" s="454" t="s">
        <v>132</v>
      </c>
      <c r="C268" s="454" t="s">
        <v>272</v>
      </c>
      <c r="D268" s="454">
        <v>35</v>
      </c>
      <c r="E268" s="454" t="s">
        <v>428</v>
      </c>
      <c r="F268" s="454">
        <v>35</v>
      </c>
      <c r="G268" s="454"/>
      <c r="H268" s="454" t="s">
        <v>272</v>
      </c>
      <c r="I268" s="454">
        <v>0.035</v>
      </c>
      <c r="J268" s="454" t="s">
        <v>198</v>
      </c>
      <c r="K268" s="454"/>
      <c r="L268" s="454"/>
      <c r="M268" s="454"/>
    </row>
    <row r="269" spans="1:13" ht="15">
      <c r="A269" s="455">
        <v>36955</v>
      </c>
      <c r="B269" s="454" t="s">
        <v>132</v>
      </c>
      <c r="C269" s="454" t="s">
        <v>272</v>
      </c>
      <c r="D269" s="454">
        <v>35</v>
      </c>
      <c r="E269" s="454" t="s">
        <v>428</v>
      </c>
      <c r="F269" s="454">
        <v>35</v>
      </c>
      <c r="G269" s="454"/>
      <c r="H269" s="454" t="s">
        <v>272</v>
      </c>
      <c r="I269" s="454">
        <v>0.035</v>
      </c>
      <c r="J269" s="454" t="s">
        <v>198</v>
      </c>
      <c r="K269" s="454"/>
      <c r="L269" s="454"/>
      <c r="M269" s="454"/>
    </row>
    <row r="270" spans="1:13" ht="15">
      <c r="A270" s="455">
        <v>37119</v>
      </c>
      <c r="B270" s="454" t="s">
        <v>132</v>
      </c>
      <c r="C270" s="454" t="s">
        <v>272</v>
      </c>
      <c r="D270" s="454">
        <v>35</v>
      </c>
      <c r="E270" s="454" t="s">
        <v>428</v>
      </c>
      <c r="F270" s="454">
        <v>35</v>
      </c>
      <c r="G270" s="454"/>
      <c r="H270" s="454" t="s">
        <v>272</v>
      </c>
      <c r="I270" s="454">
        <v>0.035</v>
      </c>
      <c r="J270" s="454" t="s">
        <v>198</v>
      </c>
      <c r="K270" s="454"/>
      <c r="L270" s="454"/>
      <c r="M270" s="454"/>
    </row>
    <row r="271" spans="1:13" ht="15">
      <c r="A271" s="455">
        <v>37196</v>
      </c>
      <c r="B271" s="454" t="s">
        <v>132</v>
      </c>
      <c r="C271" s="454" t="s">
        <v>272</v>
      </c>
      <c r="D271" s="454">
        <v>35</v>
      </c>
      <c r="E271" s="454" t="s">
        <v>428</v>
      </c>
      <c r="F271" s="454">
        <v>35</v>
      </c>
      <c r="G271" s="454"/>
      <c r="H271" s="454" t="s">
        <v>272</v>
      </c>
      <c r="I271" s="454">
        <v>0.035</v>
      </c>
      <c r="J271" s="454" t="s">
        <v>198</v>
      </c>
      <c r="K271" s="454"/>
      <c r="L271" s="454"/>
      <c r="M271" s="454"/>
    </row>
    <row r="272" spans="1:13" ht="15">
      <c r="A272" s="455">
        <v>37243</v>
      </c>
      <c r="B272" s="454" t="s">
        <v>132</v>
      </c>
      <c r="C272" s="454" t="s">
        <v>272</v>
      </c>
      <c r="D272" s="454">
        <v>35</v>
      </c>
      <c r="E272" s="454" t="s">
        <v>428</v>
      </c>
      <c r="F272" s="454">
        <v>35</v>
      </c>
      <c r="G272" s="454"/>
      <c r="H272" s="454" t="s">
        <v>272</v>
      </c>
      <c r="I272" s="454">
        <v>0.035</v>
      </c>
      <c r="J272" s="454" t="s">
        <v>198</v>
      </c>
      <c r="K272" s="454"/>
      <c r="L272" s="454"/>
      <c r="M272" s="454"/>
    </row>
    <row r="273" spans="1:13" ht="15">
      <c r="A273" s="455">
        <v>37332</v>
      </c>
      <c r="B273" s="454" t="s">
        <v>132</v>
      </c>
      <c r="C273" s="454" t="s">
        <v>272</v>
      </c>
      <c r="D273" s="454">
        <v>35</v>
      </c>
      <c r="E273" s="454" t="s">
        <v>428</v>
      </c>
      <c r="F273" s="454">
        <v>35</v>
      </c>
      <c r="G273" s="454"/>
      <c r="H273" s="454" t="s">
        <v>272</v>
      </c>
      <c r="I273" s="454">
        <v>0.035</v>
      </c>
      <c r="J273" s="454" t="s">
        <v>198</v>
      </c>
      <c r="K273" s="454"/>
      <c r="L273" s="454"/>
      <c r="M273" s="454"/>
    </row>
    <row r="274" spans="1:13" ht="15">
      <c r="A274" s="455">
        <v>37521</v>
      </c>
      <c r="B274" s="454" t="s">
        <v>132</v>
      </c>
      <c r="C274" s="454" t="s">
        <v>272</v>
      </c>
      <c r="D274" s="454">
        <v>35</v>
      </c>
      <c r="E274" s="454" t="s">
        <v>428</v>
      </c>
      <c r="F274" s="454">
        <v>35</v>
      </c>
      <c r="G274" s="454"/>
      <c r="H274" s="454" t="s">
        <v>272</v>
      </c>
      <c r="I274" s="454">
        <v>0.035</v>
      </c>
      <c r="J274" s="454" t="s">
        <v>198</v>
      </c>
      <c r="K274" s="454"/>
      <c r="L274" s="454"/>
      <c r="M274" s="454"/>
    </row>
    <row r="275" spans="1:13" ht="15">
      <c r="A275" s="455">
        <v>37591</v>
      </c>
      <c r="B275" s="454" t="s">
        <v>132</v>
      </c>
      <c r="C275" s="454" t="s">
        <v>272</v>
      </c>
      <c r="D275" s="454">
        <v>35</v>
      </c>
      <c r="E275" s="454" t="s">
        <v>428</v>
      </c>
      <c r="F275" s="454">
        <v>35</v>
      </c>
      <c r="G275" s="454"/>
      <c r="H275" s="454" t="s">
        <v>272</v>
      </c>
      <c r="I275" s="454">
        <v>0.035</v>
      </c>
      <c r="J275" s="454" t="s">
        <v>198</v>
      </c>
      <c r="K275" s="454"/>
      <c r="L275" s="454"/>
      <c r="M275" s="454"/>
    </row>
    <row r="276" spans="1:13" ht="15">
      <c r="A276" s="455">
        <v>37671</v>
      </c>
      <c r="B276" s="454" t="s">
        <v>132</v>
      </c>
      <c r="C276" s="454" t="s">
        <v>272</v>
      </c>
      <c r="D276" s="454">
        <v>35</v>
      </c>
      <c r="E276" s="454" t="s">
        <v>428</v>
      </c>
      <c r="F276" s="454">
        <v>35</v>
      </c>
      <c r="G276" s="454"/>
      <c r="H276" s="454" t="s">
        <v>272</v>
      </c>
      <c r="I276" s="454">
        <v>0.035</v>
      </c>
      <c r="J276" s="454" t="s">
        <v>198</v>
      </c>
      <c r="K276" s="454" t="s">
        <v>272</v>
      </c>
      <c r="L276" s="454">
        <v>0.035</v>
      </c>
      <c r="M276" s="454" t="s">
        <v>198</v>
      </c>
    </row>
  </sheetData>
  <mergeCells count="1">
    <mergeCell ref="K1:M1"/>
  </mergeCells>
  <printOptions gridLines="1" horizontalCentered="1"/>
  <pageMargins left="0.75" right="0.75" top="1" bottom="1" header="0.5" footer="0.5"/>
  <pageSetup fitToHeight="3" fitToWidth="1" horizontalDpi="600" verticalDpi="600" orientation="portrait" scale="45" r:id="rId1"/>
  <headerFooter alignWithMargins="0">
    <oddHeader>&amp;CPesticides Effluent Data
U.S. Navy, Naval Support - Treasure Island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Indra N. Mitra</dc:creator>
  <cp:keywords/>
  <dc:description/>
  <cp:lastModifiedBy>65FB501</cp:lastModifiedBy>
  <cp:lastPrinted>2004-03-22T21:41:05Z</cp:lastPrinted>
  <dcterms:created xsi:type="dcterms:W3CDTF">2002-04-16T15:45:56Z</dcterms:created>
  <dcterms:modified xsi:type="dcterms:W3CDTF">2004-03-22T21:41:39Z</dcterms:modified>
  <cp:category/>
  <cp:version/>
  <cp:contentType/>
  <cp:contentStatus/>
</cp:coreProperties>
</file>